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Members" sheetId="2" r:id="rId1"/>
    <sheet name="Events" sheetId="3" r:id="rId2"/>
  </sheets>
  <calcPr calcId="124519"/>
</workbook>
</file>

<file path=xl/calcChain.xml><?xml version="1.0" encoding="utf-8"?>
<calcChain xmlns="http://schemas.openxmlformats.org/spreadsheetml/2006/main">
  <c r="K53" i="3"/>
  <c r="K57"/>
  <c r="K47"/>
  <c r="K44"/>
  <c r="K30"/>
  <c r="K25"/>
  <c r="K10"/>
  <c r="K58"/>
  <c r="K56"/>
  <c r="K55"/>
  <c r="K54"/>
  <c r="K52"/>
  <c r="K51"/>
  <c r="K50"/>
  <c r="K49"/>
  <c r="K48"/>
  <c r="K46"/>
  <c r="K43"/>
  <c r="K42"/>
  <c r="K41"/>
  <c r="K40"/>
  <c r="K39"/>
  <c r="K38"/>
  <c r="K37"/>
  <c r="K36"/>
  <c r="K35"/>
  <c r="K34"/>
  <c r="K33"/>
  <c r="K32"/>
  <c r="K31"/>
  <c r="K29"/>
  <c r="K28"/>
  <c r="K26"/>
  <c r="K24"/>
  <c r="K23"/>
  <c r="K22"/>
  <c r="K21"/>
  <c r="K20"/>
  <c r="K19"/>
  <c r="K18"/>
  <c r="K17"/>
  <c r="K16"/>
  <c r="K15"/>
  <c r="K14"/>
  <c r="K13"/>
  <c r="K12"/>
  <c r="K11"/>
  <c r="K9"/>
  <c r="K8"/>
  <c r="K7"/>
  <c r="K6"/>
  <c r="K5"/>
  <c r="K4"/>
  <c r="K3"/>
  <c r="J3" i="2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3"/>
  <c r="H12"/>
  <c r="H11"/>
  <c r="H10"/>
  <c r="H9"/>
  <c r="H8"/>
  <c r="H7"/>
  <c r="H6"/>
  <c r="H5"/>
  <c r="H4"/>
  <c r="H3"/>
  <c r="J50" i="3"/>
  <c r="J39"/>
  <c r="J34"/>
  <c r="J58"/>
  <c r="J57"/>
  <c r="J56"/>
  <c r="J55"/>
  <c r="J54"/>
  <c r="J53"/>
  <c r="J52"/>
  <c r="J51"/>
  <c r="J49"/>
  <c r="J48"/>
  <c r="J47"/>
  <c r="J46"/>
  <c r="J45"/>
  <c r="J44"/>
  <c r="J43"/>
  <c r="J42"/>
  <c r="J41"/>
  <c r="J40"/>
  <c r="J38"/>
  <c r="J37"/>
  <c r="J36"/>
  <c r="J35"/>
  <c r="J33"/>
  <c r="J32"/>
  <c r="J31"/>
  <c r="J30"/>
  <c r="J29"/>
  <c r="D41"/>
  <c r="D31"/>
  <c r="J28"/>
  <c r="J14"/>
  <c r="J25"/>
  <c r="J24"/>
  <c r="J23"/>
  <c r="J21"/>
  <c r="J20"/>
  <c r="J18"/>
  <c r="J16"/>
  <c r="J10"/>
  <c r="J5"/>
  <c r="J26"/>
  <c r="J22"/>
  <c r="J19"/>
  <c r="J17"/>
  <c r="J15"/>
  <c r="J13"/>
  <c r="J12"/>
  <c r="J11"/>
  <c r="J9"/>
  <c r="J8"/>
  <c r="J7"/>
  <c r="J6"/>
  <c r="J4"/>
  <c r="J3"/>
</calcChain>
</file>

<file path=xl/sharedStrings.xml><?xml version="1.0" encoding="utf-8"?>
<sst xmlns="http://schemas.openxmlformats.org/spreadsheetml/2006/main" count="792" uniqueCount="622">
  <si>
    <t>Members</t>
  </si>
  <si>
    <t>Member</t>
  </si>
  <si>
    <t>Sub Category</t>
  </si>
  <si>
    <t>Shoes</t>
  </si>
  <si>
    <t>Address</t>
  </si>
  <si>
    <t>Phone</t>
  </si>
  <si>
    <t>03 9662 2941</t>
  </si>
  <si>
    <t>Email</t>
  </si>
  <si>
    <t>info@124shoes.com.au</t>
  </si>
  <si>
    <t>Timing</t>
  </si>
  <si>
    <t>Logo</t>
  </si>
  <si>
    <t>Category</t>
  </si>
  <si>
    <t>Shop</t>
  </si>
  <si>
    <t>URL</t>
  </si>
  <si>
    <t>http://www.124shoes.com.au/</t>
  </si>
  <si>
    <t>Shop 24 16-30 Russell Place Melbourne 3000</t>
  </si>
  <si>
    <t>Mon-Thu 10am-6pm Fri 10am-7pm Sat 10am-6pm Sun 12pm-5pm</t>
  </si>
  <si>
    <t>Australian By Design</t>
  </si>
  <si>
    <t>(03) 9663 9883</t>
  </si>
  <si>
    <t>sales@australianbydesign.com.au</t>
  </si>
  <si>
    <t>http://www.australianbydesign.com.au/</t>
  </si>
  <si>
    <t>Suite 303e, Level 3, Lift 1 Opposite Hopetoun Tea Rooms The Block Arcade 282 Collins St MELBOURNE VICTORIA 3000</t>
  </si>
  <si>
    <t>Mon – Fri: 9.30am – 6pm Sat: 11am – 4pm Closed Sun and Public Holidays</t>
  </si>
  <si>
    <t>03 9662 9877</t>
  </si>
  <si>
    <t>info@balthasar.com.au</t>
  </si>
  <si>
    <t>by appointment</t>
  </si>
  <si>
    <t>Balthasar Jewellery</t>
  </si>
  <si>
    <t>Jewellery</t>
  </si>
  <si>
    <t>http://www.balthasar.com.au/</t>
  </si>
  <si>
    <t>Bared Footware</t>
  </si>
  <si>
    <t>Fashion</t>
  </si>
  <si>
    <t>36 Manchester Lane, Melbourne, 3000 VIC</t>
  </si>
  <si>
    <t>(03) 9509 5771</t>
  </si>
  <si>
    <t>info@bared.com.au</t>
  </si>
  <si>
    <t>https://bared.com.au/</t>
  </si>
  <si>
    <t>Suite 2A, 190 Bourke Street Melbourne 3000</t>
  </si>
  <si>
    <t>Monday – Thursday: 10am – 6pm Friday: 10am – 7pm Saturday: 10am – 6pm Sunday: 11am – 5pm</t>
  </si>
  <si>
    <t>Carl Navè</t>
  </si>
  <si>
    <t>Tailor</t>
  </si>
  <si>
    <t>0403 163 523</t>
  </si>
  <si>
    <t>sales@carlnave.com.au</t>
  </si>
  <si>
    <t>2A/190 Bourke Street Melbourne 3000</t>
  </si>
  <si>
    <t>https://carlnave.com.au/</t>
  </si>
  <si>
    <t>03 9639 9012</t>
  </si>
  <si>
    <t>info@chocamama.com.au</t>
  </si>
  <si>
    <t>chocomama</t>
  </si>
  <si>
    <t>http://www.chocamama.com/</t>
  </si>
  <si>
    <t>ROYAL ARCADE 335 Bourke Street Mall Melbourne Victoria 3000</t>
  </si>
  <si>
    <t>Monday-Wednesday 10.00am - 6.00pm Thursday-Saturday 10.00am - 6.30pm Sunday 10.00am - 5.00pm</t>
  </si>
  <si>
    <t>Fine Food and Gifts</t>
  </si>
  <si>
    <t>Clementine</t>
  </si>
  <si>
    <t>03 9639 2681</t>
  </si>
  <si>
    <t>clementine@clementines.com.au</t>
  </si>
  <si>
    <t>http://www.clementines.com.au/</t>
  </si>
  <si>
    <t>Driza-Bone</t>
  </si>
  <si>
    <t>185 Little Collins Street, Melbourne</t>
  </si>
  <si>
    <t>http://https//www.drizabone.com.au</t>
  </si>
  <si>
    <t>e.g.etal</t>
  </si>
  <si>
    <t>03 9639 5111</t>
  </si>
  <si>
    <t>flinders@egetal.com.au</t>
  </si>
  <si>
    <t>http://www.egetal.com.au/</t>
  </si>
  <si>
    <t>167 Flinders Lane Melbourne 3000</t>
  </si>
  <si>
    <t>ELK</t>
  </si>
  <si>
    <t>(03) 8609 1247‎</t>
  </si>
  <si>
    <t>customerservice@elkaccessories.com.au</t>
  </si>
  <si>
    <t>http://www.elkaccessories.com/</t>
  </si>
  <si>
    <t>Erika</t>
  </si>
  <si>
    <t>Boutique/ Fashion</t>
  </si>
  <si>
    <t>(03) 9642 5911</t>
  </si>
  <si>
    <t>erika.boutique@hotmail.com</t>
  </si>
  <si>
    <t>http://www.erikaboutique.com.au/</t>
  </si>
  <si>
    <t>Esther Weinberg Jewellery</t>
  </si>
  <si>
    <t>hello@estherweinberg.com.au</t>
  </si>
  <si>
    <t>Open by appointment only</t>
  </si>
  <si>
    <t>http://www.estherweinberg.com.au/</t>
  </si>
  <si>
    <t>Eyes On</t>
  </si>
  <si>
    <t>03 9600 3888</t>
  </si>
  <si>
    <t>queenstreet@eyeson.com.au</t>
  </si>
  <si>
    <t>Mon to Fri: 9.00am to 5.00pm</t>
  </si>
  <si>
    <t>http://www.eyeson.com.au/</t>
  </si>
  <si>
    <t>Gray Reid Gallery</t>
  </si>
  <si>
    <t>(03) 9650 7700</t>
  </si>
  <si>
    <t>http://www.grayreidgallery.com.au/</t>
  </si>
  <si>
    <t>156 Collins Street Melbourne Victoria 3000</t>
  </si>
  <si>
    <t>Mon - Thu: 10am – 5pm Fri: 10am – 7pm Sat: 10am – 2pm</t>
  </si>
  <si>
    <t>Hearns Hobbies</t>
  </si>
  <si>
    <t>Hobbies</t>
  </si>
  <si>
    <t>03 9629 1425</t>
  </si>
  <si>
    <t>https://www.hearnshobbies.com/</t>
  </si>
  <si>
    <t>295 Flinders St Melbourne</t>
  </si>
  <si>
    <t>MONDAY -FRIDAY- 9.30am - 6pm SAT - 10am - 5.00pm SUN - Closed</t>
  </si>
  <si>
    <t>Jay Dillon</t>
  </si>
  <si>
    <t>2/184 Little Collins St, Melbourne VIC 3000</t>
  </si>
  <si>
    <t>(03) 9650 2751</t>
  </si>
  <si>
    <t>info@jaydillon.com.au</t>
  </si>
  <si>
    <t>http://https//www.jaydillon.com.au/</t>
  </si>
  <si>
    <t>Kara Baker</t>
  </si>
  <si>
    <t>Couture</t>
  </si>
  <si>
    <t>http://www.karabaker.com/</t>
  </si>
  <si>
    <t>Lightning Ridge Opal Mines</t>
  </si>
  <si>
    <t>Opals and Jewellery</t>
  </si>
  <si>
    <t>03 9654 4444</t>
  </si>
  <si>
    <t>http://www.opals.net.au/</t>
  </si>
  <si>
    <t>Lord Coconut</t>
  </si>
  <si>
    <t>Melbourne, 3000</t>
  </si>
  <si>
    <t>0450 015 263</t>
  </si>
  <si>
    <t>info@lordcoconut.com</t>
  </si>
  <si>
    <t>Monday to Friday 11am to 6pm Saturday 12pm to 4pm Other times by appointment</t>
  </si>
  <si>
    <t>Marea Bright</t>
  </si>
  <si>
    <t>Milliner</t>
  </si>
  <si>
    <t>0438 215 186</t>
  </si>
  <si>
    <t>https://www.mareabright.com.au/</t>
  </si>
  <si>
    <t>Melournalia</t>
  </si>
  <si>
    <t>03 9663 3751</t>
  </si>
  <si>
    <t>http://www.melbournalia.com.au/</t>
  </si>
  <si>
    <t>Mon-Thu 10am-7pm Fri 10am-8pm Sat 11am-6pm Sun 11am-6pm</t>
  </si>
  <si>
    <t>Shop 5 50 Bourke Street Melbourne 3000</t>
  </si>
  <si>
    <t>Melbourne Books</t>
  </si>
  <si>
    <t>Books</t>
  </si>
  <si>
    <t>(61 3) 9662 2051</t>
  </si>
  <si>
    <t>http://www.melbournebooks.com.au/</t>
  </si>
  <si>
    <t>Men's Biz</t>
  </si>
  <si>
    <t>Grooming</t>
  </si>
  <si>
    <t>1300 784 789</t>
  </si>
  <si>
    <t>https://www.mensbiz.com.au/</t>
  </si>
  <si>
    <t>Michael's</t>
  </si>
  <si>
    <t>Cameras</t>
  </si>
  <si>
    <t>(03) 9672 2222</t>
  </si>
  <si>
    <t>http://https//michaels.com.au</t>
  </si>
  <si>
    <t>Mörk Chocolate</t>
  </si>
  <si>
    <t>Chocolatier</t>
  </si>
  <si>
    <t>03 9328 1386</t>
  </si>
  <si>
    <t>http://www.morkchocolate.com.au/</t>
  </si>
  <si>
    <t>Mr Wares</t>
  </si>
  <si>
    <t>Souvenirs and Gifts</t>
  </si>
  <si>
    <t>03 9663 6441</t>
  </si>
  <si>
    <t>http://www.mrwares.com/</t>
  </si>
  <si>
    <t>Pieces of Eight</t>
  </si>
  <si>
    <t>03 9663 3641</t>
  </si>
  <si>
    <t>https://www.piecesofeight.com.au/</t>
  </si>
  <si>
    <t>Quists Coffee</t>
  </si>
  <si>
    <t>Coffee Roaster</t>
  </si>
  <si>
    <t>03 9650 1530</t>
  </si>
  <si>
    <t>quists@quistscoffee.com.au</t>
  </si>
  <si>
    <t>Monday - Friday : 8am - 5pm</t>
  </si>
  <si>
    <t>Rooftop Honey</t>
  </si>
  <si>
    <t>Bee Keepers</t>
  </si>
  <si>
    <t>info@rooftophoney.com.au</t>
  </si>
  <si>
    <t>Sammy's Hair Grooming</t>
  </si>
  <si>
    <t>Salon</t>
  </si>
  <si>
    <t>Kelvin Club, 14-30 Melbourne Place Melbourne 3000</t>
  </si>
  <si>
    <t>(O3) 9650 8018</t>
  </si>
  <si>
    <t>https://sammyshairgrooming.com/</t>
  </si>
  <si>
    <t>Sin-Ko-Nah</t>
  </si>
  <si>
    <t>Tonic/ Mixer</t>
  </si>
  <si>
    <t>0410 668 667</t>
  </si>
  <si>
    <t>http://www.tonicsyrup.com/</t>
  </si>
  <si>
    <t>Gallery</t>
  </si>
  <si>
    <t>0407 317 323</t>
  </si>
  <si>
    <t>stephen@stephenmclaughlangallery.com.au</t>
  </si>
  <si>
    <t>Stephen Mclaughlan Gallery</t>
  </si>
  <si>
    <t>suzi@suzizutic.com</t>
  </si>
  <si>
    <t>By appointment only</t>
  </si>
  <si>
    <t>Suzi Zutic Handmade Jewellery</t>
  </si>
  <si>
    <t>Swensk</t>
  </si>
  <si>
    <t>+61 3 9663 4376</t>
  </si>
  <si>
    <t>curious@swensk.com</t>
  </si>
  <si>
    <t>The Hello Bureau</t>
  </si>
  <si>
    <t>Design</t>
  </si>
  <si>
    <t>cass@thehellobureau.com</t>
  </si>
  <si>
    <t>shop</t>
  </si>
  <si>
    <t>V and J Menswear</t>
  </si>
  <si>
    <t>9078 5054</t>
  </si>
  <si>
    <t>info@vandj.com.au</t>
  </si>
  <si>
    <t>Wawa Chocolatier</t>
  </si>
  <si>
    <t>info@wawachocolatier.com.au</t>
  </si>
  <si>
    <t>Optometrist</t>
  </si>
  <si>
    <t xml:space="preserve">sinkonah@outlook.com </t>
  </si>
  <si>
    <t xml:space="preserve">info@piecesofeight.com.au </t>
  </si>
  <si>
    <t xml:space="preserve">info@mrwares.com </t>
  </si>
  <si>
    <t xml:space="preserve">contact@morkchocolate.com.au </t>
  </si>
  <si>
    <t xml:space="preserve">service@mensbiz.com.au </t>
  </si>
  <si>
    <t xml:space="preserve">info@melbournebooks.com.au </t>
  </si>
  <si>
    <t xml:space="preserve">info@melbournalia.com.au </t>
  </si>
  <si>
    <t xml:space="preserve">mareabrightmilliner@gmail.com </t>
  </si>
  <si>
    <t xml:space="preserve">info@opals.net.au </t>
  </si>
  <si>
    <t xml:space="preserve">info@grayreidgallery.com.au </t>
  </si>
  <si>
    <t>http://www.lordcoconut.com</t>
  </si>
  <si>
    <t>http://www.quistscoffee.com.au</t>
  </si>
  <si>
    <t>http://www.rooftophoney.com.au</t>
  </si>
  <si>
    <t>http://www.stephenmclaughlangallery.com.au</t>
  </si>
  <si>
    <t>http://www.suzizutic.com</t>
  </si>
  <si>
    <t>http://www.swensk.com</t>
  </si>
  <si>
    <t>http://www.thehellobureau.com</t>
  </si>
  <si>
    <t>http://www.vandj.com.au</t>
  </si>
  <si>
    <t>http://www.wawachocolatier.com.a</t>
  </si>
  <si>
    <t>Made &amp; Crafted in Victoria 7 Degraves Street Melbourne 3000</t>
  </si>
  <si>
    <t>437 Little Collins Street Melbourne Victoria 3000</t>
  </si>
  <si>
    <t>The Nicholas Building Studio 3, Level 5/37 Swanston St Melbourne VIC 3000</t>
  </si>
  <si>
    <t>Shop 2, 185-191 Queen Street Melbourne VIC 3000</t>
  </si>
  <si>
    <t>63 Elizabeth Street Melbourne 3000</t>
  </si>
  <si>
    <t>Level 5 Mitchell House 358 Lonsdale Street Melbourne, 3000</t>
  </si>
  <si>
    <t>Shop 107 Level 1 259 Collins Street Melbourne Vic 3000</t>
  </si>
  <si>
    <t>Level 9, 100 Collins St Melbourne Vic 3000</t>
  </si>
  <si>
    <t>Shop 49 Royal Arcade 335 Bourke Street Melbourne 3000</t>
  </si>
  <si>
    <t>263-269 Elizabeth St Melbourne VIC 3000</t>
  </si>
  <si>
    <t>Mon-Sat 10am-6pm Sun 10am-4pm</t>
  </si>
  <si>
    <t>Monday ‘til Thursday 10am-6pm Friday 10am-7pm Saturday 10am-5pm Open Sundays in December 12-5pm Closed Public Holidays</t>
  </si>
  <si>
    <t>Monday - Thursday 10:00 am – 6:00 pm Friday 10:00 am – 7:00 pm Saturday 10:00 am – 5:00 pm Sunday 11:00 am – 4:00 pm</t>
  </si>
  <si>
    <t>Monday - Wednesday 10.30am to 5.30pm Thursday - Friday 10.30am to 6.00pm Saturday 11am t0 4.00pm</t>
  </si>
  <si>
    <t>Mon - Thurs 10am - 6pm Friday 10am - 7pm Saturday 10am - 5.30pm Sunday 12pm - 5pm</t>
  </si>
  <si>
    <t>Mon: CLOSED Tues: 11am – 5pm Wed: 11am – 5pm Thu: 11am – 8pm Fri: 11am – 5pm Sat: 11am – 3pm Sun: CLOSED</t>
  </si>
  <si>
    <t>Mon-Fri 10am-6pm Sat 11am-5pm</t>
  </si>
  <si>
    <t>Monday 9am – 6pm Tuesday 9am – 6pm Wednesday 9am – 6pm Thursday 9am – 7pm Friday 9am – 9pm Saturday 9am – 6pm Sunday 11am – 5pm</t>
  </si>
  <si>
    <t>Monday: closed Tuesday: 8-5pm Wednesday: 8-5pm Thursday: 8-5pm Friday: 8-5pm Saturday: 8-5pm Sunday: 9-5pm</t>
  </si>
  <si>
    <t>Mörk Chocolate Brew House 150 Errol Street North Melbourne</t>
  </si>
  <si>
    <t>Mon - Thu: 10:00 am - 5:30 pm Fri: 10:00 am - 7:00 pm Sat: 10:00 am - 5:00 pm Sun: 11:00 am - 5:00 pm</t>
  </si>
  <si>
    <t>22 The Block Arcade 282 Collins Street Melbourne, 3000</t>
  </si>
  <si>
    <t>28 Russell Place Melbourne 3000</t>
  </si>
  <si>
    <t>166 Little Collins Street Melbourne 3000</t>
  </si>
  <si>
    <t>Mon-Fri 10.30am-6pm Sat 10am-5pm Sun 11am-4pm</t>
  </si>
  <si>
    <t>Monday : 9am - 6pm Tuesday : 9am - 6pm Wednesday : 9am - 7pm Thursday : 9am - 7pm Friday : 9am - 7pm</t>
  </si>
  <si>
    <t>Level 8 Room 16 The Nicholas Building 37 Swanston Street Melbourne 3000</t>
  </si>
  <si>
    <t>Wed to Fri 1pm-5pm Sat 11am-5pm &amp; by appointment</t>
  </si>
  <si>
    <t>The Nicholas Building Suite 05, Level 09 37 Swanston Street, Melbourne</t>
  </si>
  <si>
    <t>Shop 1 , 230 Little Collins Street CH2 Melbourne, Victoria 3000</t>
  </si>
  <si>
    <t>evel 3 Carlow House 289 Flinders Lane Melbourne 3000</t>
  </si>
  <si>
    <t>Carlton North VIC, 3054 Available at Clementine's: 7 Degraves Street Melbourne 3000</t>
  </si>
  <si>
    <t>Monday-Thursday 10 AM - 6 PM Friday 10 AM - 7 PM Saturday 10 AM - 5.00 PM Sunday 12 NOON - 4.30 PM</t>
  </si>
  <si>
    <t>Mon-Wed 10am-6pm Thu-Fri 10am-8pm Sat 10am-5pm Sun 12pm-5pm</t>
  </si>
  <si>
    <t>Description</t>
  </si>
  <si>
    <t>Souviners and Gifts</t>
  </si>
  <si>
    <t>Shop/ Eat</t>
  </si>
  <si>
    <t>03 8080 8888</t>
  </si>
  <si>
    <t>reception@adelphi.com.au</t>
  </si>
  <si>
    <t>We are open 24/7</t>
  </si>
  <si>
    <t>Adelphi</t>
  </si>
  <si>
    <t>Eat</t>
  </si>
  <si>
    <t>Hotel</t>
  </si>
  <si>
    <t>Bottega</t>
  </si>
  <si>
    <t>Restaurant</t>
  </si>
  <si>
    <t>03 9654 2252</t>
  </si>
  <si>
    <t>dine@bottega.com.au</t>
  </si>
  <si>
    <t>Butchers Dinner</t>
  </si>
  <si>
    <t>Bar and Restaurant</t>
  </si>
  <si>
    <t>(03) 9639 7324</t>
  </si>
  <si>
    <t>info@butchersdiner.com.au</t>
  </si>
  <si>
    <t>Caterina's Cucina and Bar</t>
  </si>
  <si>
    <t>(03) 9670 8488</t>
  </si>
  <si>
    <t>info@caterinas.com.au</t>
  </si>
  <si>
    <t>Ginger Olive</t>
  </si>
  <si>
    <t>info@gingerolive.com.au</t>
  </si>
  <si>
    <t>Guild</t>
  </si>
  <si>
    <t>Café</t>
  </si>
  <si>
    <t>guild@almondmilkco.com.au</t>
  </si>
  <si>
    <t>Harley House Picanteria</t>
  </si>
  <si>
    <t>03 9663 8333</t>
  </si>
  <si>
    <t>info@harleyhouse.com.au</t>
  </si>
  <si>
    <t>Journal</t>
  </si>
  <si>
    <t>03 9650 4399</t>
  </si>
  <si>
    <t>info@journalcafe.com.au</t>
  </si>
  <si>
    <t>03 9620 7799</t>
  </si>
  <si>
    <t>info@kinfolk.org.au</t>
  </si>
  <si>
    <t>Kinfolk</t>
  </si>
  <si>
    <t>Kirks</t>
  </si>
  <si>
    <t>Winebar</t>
  </si>
  <si>
    <t>info@kirkswinebar.com</t>
  </si>
  <si>
    <t>Melbourne Food Experiences</t>
  </si>
  <si>
    <t>1800 801 838</t>
  </si>
  <si>
    <t>info@melbournefoodexperiences.com.au</t>
  </si>
  <si>
    <t>Neapoli</t>
  </si>
  <si>
    <t>03 9650 5020</t>
  </si>
  <si>
    <t>https://www.neapoliwinebar.com.au/</t>
  </si>
  <si>
    <t>Food Tours</t>
  </si>
  <si>
    <t>No Vacancy Gallery</t>
  </si>
  <si>
    <t>03 9663 3798</t>
  </si>
  <si>
    <t>info@no-vacancy.com.au</t>
  </si>
  <si>
    <t>Pole Pole Bar</t>
  </si>
  <si>
    <t>Bar</t>
  </si>
  <si>
    <t>03 9650 2811</t>
  </si>
  <si>
    <t>jambo@polepolebar.com.au</t>
  </si>
  <si>
    <t>Open Monday - Saturday from 4pm</t>
  </si>
  <si>
    <t>Rice Paper Scissors</t>
  </si>
  <si>
    <t>9663 9890</t>
  </si>
  <si>
    <t>info@ricepaperscissors.com.au</t>
  </si>
  <si>
    <t>The Kelvin Club</t>
  </si>
  <si>
    <t>Members Club</t>
  </si>
  <si>
    <t>03 9654 5711</t>
  </si>
  <si>
    <t>memberenquiries@kelvinclub.com</t>
  </si>
  <si>
    <t>Mon-Fri 11am-10pm</t>
  </si>
  <si>
    <t>Play</t>
  </si>
  <si>
    <t>Amazing Melbourne Tours</t>
  </si>
  <si>
    <t>Tours</t>
  </si>
  <si>
    <t>0419 928 771</t>
  </si>
  <si>
    <t>michelle@amazingmelbournetours.com</t>
  </si>
  <si>
    <t>BOOK VIA WEBSITE</t>
  </si>
  <si>
    <t>Chocoholic Tours</t>
  </si>
  <si>
    <t>1300 915 566</t>
  </si>
  <si>
    <t>Info@chocoholictours.com.au</t>
  </si>
  <si>
    <t>Hidden Secrets Tours</t>
  </si>
  <si>
    <t>9663 3358</t>
  </si>
  <si>
    <t>tours@hiddensecretstours.com</t>
  </si>
  <si>
    <t>Mon-Sat 8.30am-6.30pm</t>
  </si>
  <si>
    <t xml:space="preserve">Meyers Place </t>
  </si>
  <si>
    <t>info@meyersplace.com.au</t>
  </si>
  <si>
    <t>Punting on the Lake</t>
  </si>
  <si>
    <t>0481 455 410</t>
  </si>
  <si>
    <t>nicki@puntingonthelake.com.au</t>
  </si>
  <si>
    <t>Styled By Sally</t>
  </si>
  <si>
    <t>Stylist</t>
  </si>
  <si>
    <t>0416 184 997</t>
  </si>
  <si>
    <t>sally@styledbysally.com.au</t>
  </si>
  <si>
    <t>Walk Melbourne Tours</t>
  </si>
  <si>
    <t>0411 182 911</t>
  </si>
  <si>
    <t>questions@walkmelbourne.com.au</t>
  </si>
  <si>
    <t>Stay</t>
  </si>
  <si>
    <t>Eat/ Stay</t>
  </si>
  <si>
    <t>Quest On Bourke</t>
  </si>
  <si>
    <t>Serviced Apartments</t>
  </si>
  <si>
    <t>questonbourke@questapartments.com.au</t>
  </si>
  <si>
    <t>03 9631 0400</t>
  </si>
  <si>
    <t>The Windsor</t>
  </si>
  <si>
    <t>+61 3 9633 6000</t>
  </si>
  <si>
    <t>info@thw.com.au</t>
  </si>
  <si>
    <t>http://www.thehotelwindsor.com.au/</t>
  </si>
  <si>
    <t>Eat/ Engage</t>
  </si>
  <si>
    <t>Play/ Engage</t>
  </si>
  <si>
    <t>Shop/ Engage</t>
  </si>
  <si>
    <t>Shop/ Play/ Engage</t>
  </si>
  <si>
    <t>Art Aviso</t>
  </si>
  <si>
    <t>Engage</t>
  </si>
  <si>
    <t>Arts Platform</t>
  </si>
  <si>
    <t>contact@artaviso.com</t>
  </si>
  <si>
    <t>http://artaviso.com/</t>
  </si>
  <si>
    <t>Business in Control</t>
  </si>
  <si>
    <t>Business Consultancy</t>
  </si>
  <si>
    <t>0412 566 606</t>
  </si>
  <si>
    <t>sue@businessincontrol.com.au</t>
  </si>
  <si>
    <t>Dental Health Care Associates</t>
  </si>
  <si>
    <t>Dentist</t>
  </si>
  <si>
    <t>9650 2909</t>
  </si>
  <si>
    <t>enquiries@dentalhealth.com.au</t>
  </si>
  <si>
    <t>Discovera</t>
  </si>
  <si>
    <t>http://www.discovera.com.au/melbourne/</t>
  </si>
  <si>
    <t>First Chapter Agency</t>
  </si>
  <si>
    <t>Marketing and PR Agency</t>
  </si>
  <si>
    <t>+61 433 648 851</t>
  </si>
  <si>
    <t>hello@firstchapteragency.com</t>
  </si>
  <si>
    <t>Flinders Lane Gallery</t>
  </si>
  <si>
    <t>03 9654 3332</t>
  </si>
  <si>
    <t>info@flg.com.au</t>
  </si>
  <si>
    <t>http://info@flg.com.au/</t>
  </si>
  <si>
    <t>Laneway Learning</t>
  </si>
  <si>
    <t>Classes and Workshops</t>
  </si>
  <si>
    <t>melbourne@lanewaylearning.com</t>
  </si>
  <si>
    <t>McKenzie Ross</t>
  </si>
  <si>
    <t>Insurance Broker</t>
  </si>
  <si>
    <t>03 9691 2222</t>
  </si>
  <si>
    <t>info@mckenzieross.com.au</t>
  </si>
  <si>
    <t>Peter Andrew Barrett</t>
  </si>
  <si>
    <t>Architectural Conservation</t>
  </si>
  <si>
    <t>03 9639 2646</t>
  </si>
  <si>
    <t>info@pabarrett.com</t>
  </si>
  <si>
    <t>Prince and Mercer</t>
  </si>
  <si>
    <t>Social Media Strategist</t>
  </si>
  <si>
    <t>Melbourne, Australia</t>
  </si>
  <si>
    <t>info@princeandmercer.com</t>
  </si>
  <si>
    <t>The Alignment Studio</t>
  </si>
  <si>
    <t>Physiotherapy Services</t>
  </si>
  <si>
    <t>(03) 9650 2220</t>
  </si>
  <si>
    <t>reception@thealignmentstudio.com.au</t>
  </si>
  <si>
    <t>Library</t>
  </si>
  <si>
    <t>The Melbourne Athenaeum</t>
  </si>
  <si>
    <t>(03) 9650 3100</t>
  </si>
  <si>
    <t>library@melbourneathenaeum.org.au</t>
  </si>
  <si>
    <t>Travelling Conversations</t>
  </si>
  <si>
    <t>Psychologist</t>
  </si>
  <si>
    <t>(03) 9028 4876</t>
  </si>
  <si>
    <t>info@travellingconversations.com</t>
  </si>
  <si>
    <t>Walks101</t>
  </si>
  <si>
    <t>(03) 9935 9224</t>
  </si>
  <si>
    <t>http://https//walks101.com</t>
  </si>
  <si>
    <t>187 Flinders Lane Melbourne 3000</t>
  </si>
  <si>
    <t>74 Bourke Street Melbourne 3000</t>
  </si>
  <si>
    <t>Mon-Sat Lunch from 12pm Dinner from 5.30pm</t>
  </si>
  <si>
    <t>10 Bourke Street Melbourne, 3000</t>
  </si>
  <si>
    <t>Open 24 hours a day 7 days a week</t>
  </si>
  <si>
    <t>221 Queen Street (Basement) Melbourne, VIC 3000</t>
  </si>
  <si>
    <t>Monday to Friday from 12 pm Lunches Only</t>
  </si>
  <si>
    <t>Monday: 10:00am – 6:00pm Tuesday: 10:00am – 9:00pm Wednesday: 10:00am – 9:00pm Thursday: 10:00am – 9:00pm Friday: 10:00am – 9:00pm Saturday: 9:00am – 9:00pm Sunday: Closed</t>
  </si>
  <si>
    <t>State Library of Victoria 328 Swanston Street Melbourne</t>
  </si>
  <si>
    <t>Monday – Friday | 8am – 6pm Friday - Sunday | 10am – 6pm</t>
  </si>
  <si>
    <t>71 Collins Street Melbourne, 3000</t>
  </si>
  <si>
    <t>Open 7 nights from 4.30pm Lunch from Midday Thursday &amp; Friday.</t>
  </si>
  <si>
    <t>253 Flinders Lane Melbourne 3000</t>
  </si>
  <si>
    <t>Mon-Wed: 7:00 am - 9:00 pm Thu-Fri: 7:00 am - 11:00 pm Sat-Sun: 7:00 am - 6:00 pm</t>
  </si>
  <si>
    <t>673 Bourke Street Melbourne, VIC</t>
  </si>
  <si>
    <t>Monday – Friday: 7.00am – 3.00pm Saturday – Sunday: Closed</t>
  </si>
  <si>
    <t>46 Hardware Lane Melbourne 3000</t>
  </si>
  <si>
    <t>30 Russell Place Melbourne 3000</t>
  </si>
  <si>
    <t>Mon-Thu 7.30am-11pm Fri 7.30am-1am Sat 8am-1am Sun 12pm - late</t>
  </si>
  <si>
    <t>34-40 Jane Bell Lane (off Russell St) Melbourne, VIC 3000</t>
  </si>
  <si>
    <t>Level 1, 267 Little Collins Street Melbourne 3000</t>
  </si>
  <si>
    <t>Gallery Tues-Fri 12-6 Sat &amp; Sunday 12-5 Cafe Mon-Fri 7-4</t>
  </si>
  <si>
    <t>Mon-Fri 11am-3pm, 6pm-12am Sat 5pm-12am</t>
  </si>
  <si>
    <t>19 Liverpool Street Melbourne 3000</t>
  </si>
  <si>
    <t>14-30 Melbourne Place Melbourne 3000</t>
  </si>
  <si>
    <t>2 Swanston Street Melbourne, Victoria, 3000</t>
  </si>
  <si>
    <t>Studio 702 37 Swanston Street Melbourne 3000</t>
  </si>
  <si>
    <t>Monday: 5pm-12am Tuesday: 5pm - 12am Wednesday: 5pm - 1am Thursday: 5pm - 1am Friday: 4pm - 1am Saturday: 4pm - 1am Sunday: Closed</t>
  </si>
  <si>
    <t>7/24 Crossley Street Melbourne 3000</t>
  </si>
  <si>
    <t>Gate A Royal Botanic Gardens cnr Alexandra Ave and Anderson Rd Melbourne 3000</t>
  </si>
  <si>
    <t>Monday - Sunday 10am - 4.30pm</t>
  </si>
  <si>
    <t>155 Bourke Street Melbourne 3000</t>
  </si>
  <si>
    <t>111 Spring Street Melbourne, 3000</t>
  </si>
  <si>
    <t>Level 9/901 118 Russell Street Melbourne, VIC 3000</t>
  </si>
  <si>
    <t>Level 4 Kurrajong House 175 Collins Street Melbourne 3000</t>
  </si>
  <si>
    <t>Mon-Wed 8am-5pm Thu 9.30am-6pm Fri 8.30am-2pm lunchtime and Friday afternoon appointments by request</t>
  </si>
  <si>
    <t>Level 3 75-77 Hardware Lane Melbourne</t>
  </si>
  <si>
    <t>Level 1, The Nicholas Building Corner Flinders Lane &amp; 37 Swanston Street Melbourne 3000</t>
  </si>
  <si>
    <t>Tuesday – Friday 11am to 6pm Saturday 11am to 5pm or 3pm on last Saturday of each exhibition for de-install. Closed Sunday &amp; Monday</t>
  </si>
  <si>
    <t>Level 4 501 La Trobe Street Melbourne 3000</t>
  </si>
  <si>
    <t>Level 31 120 Collins Street Melbourne 3000</t>
  </si>
  <si>
    <t>188 Collins Street Melbourne 3000</t>
  </si>
  <si>
    <t>Shop 19, Collins Place 45 Collins Street Melbourne Victoria 3000</t>
  </si>
  <si>
    <t>Monday - Friday: 7am to 7pm Saturday 7am - 1pm</t>
  </si>
  <si>
    <t>Monday 10:00 - 18:00 Tuesday 10:00 - 18:00 Wednesday 10:00 - 20:00 Thursday 10:00 - 18:00 Friday10:00 - 16:00 Saturday10:00 - 14:00 SundayCLOSED</t>
  </si>
  <si>
    <t>Suite 609, 318 Little Lonsdale Street Melbourne, 3000.</t>
  </si>
  <si>
    <t>BY APPOINTMENT ONLY: Mon-Fri 9am - 6pm Sat 9am - 1pm</t>
  </si>
  <si>
    <t>http://www.guildcafe.com.au</t>
  </si>
  <si>
    <t>http://www.adelphi.com.au</t>
  </si>
  <si>
    <t>http://www.bottega.com.au</t>
  </si>
  <si>
    <t>http://www.butchersdiner.com.au</t>
  </si>
  <si>
    <t>http://www.caterinas.com.au</t>
  </si>
  <si>
    <t>http://www.gingerolive.com.au</t>
  </si>
  <si>
    <t>http://www.harleyhouse.com.au</t>
  </si>
  <si>
    <t>http://www.journalcafe.com.au</t>
  </si>
  <si>
    <t>http://www.kinfolk.org.au</t>
  </si>
  <si>
    <t>http://www.kirkswinebar.com</t>
  </si>
  <si>
    <t>http://www.melbournefoodexperiences.com.au</t>
  </si>
  <si>
    <t>http://www.no-vacancy.com.au</t>
  </si>
  <si>
    <t>http://www.polepolebar.com.au</t>
  </si>
  <si>
    <t>http://www.ricepaperscissors.com.au</t>
  </si>
  <si>
    <t>http://www.kelvinclub.com</t>
  </si>
  <si>
    <t>http://www.amazingmelbournetours.com</t>
  </si>
  <si>
    <t>http://www.chocoholictours.com.au</t>
  </si>
  <si>
    <t>http://www.hiddensecretstours.com</t>
  </si>
  <si>
    <t>http://www.meyersplace.com.au</t>
  </si>
  <si>
    <t>http://www.puntingonthelake.com.au</t>
  </si>
  <si>
    <t>http://www.styledbysally.com.au</t>
  </si>
  <si>
    <t>http://www.walkmelbourne.com.au</t>
  </si>
  <si>
    <t>http://www.questapartments.com.au</t>
  </si>
  <si>
    <t>http://www.businessincontrol.com.au</t>
  </si>
  <si>
    <t>http://www.dentalhealth.com.au</t>
  </si>
  <si>
    <t>http://www.firstchapteragency.com</t>
  </si>
  <si>
    <t>http://www.lanewaylearning.com</t>
  </si>
  <si>
    <t>http://www.mckenzieross.com.au</t>
  </si>
  <si>
    <t>http://www.pabarrett.com</t>
  </si>
  <si>
    <t>http://www.princeandmercer.com</t>
  </si>
  <si>
    <t>http://www.thealignmentstudio.com.au</t>
  </si>
  <si>
    <t>http://www.melbourneathenaeum.org.au</t>
  </si>
  <si>
    <t>http://www.travellingconversations.com</t>
  </si>
  <si>
    <t>38 Manchester Lane, Melbourne 3000</t>
  </si>
  <si>
    <t>Social Event</t>
  </si>
  <si>
    <t>Stability and Balance - Setting the platform for a strong 2020</t>
  </si>
  <si>
    <t>Wednesday 12 February, 6.30-8.30pm</t>
  </si>
  <si>
    <t>Venue</t>
  </si>
  <si>
    <t>Stephen McLaughlan Gallery Level 8, Room 16 The Nicholas Building 37 Swanston Street</t>
  </si>
  <si>
    <t>Guest Speaker</t>
  </si>
  <si>
    <t>Phil Brooker, author of Guaranteed Success - Revealing the secrets to being successful on purpose, in business</t>
  </si>
  <si>
    <t>Hayley@cityprecinct.com.au</t>
  </si>
  <si>
    <t>Publish Date</t>
  </si>
  <si>
    <t>Celebrate at the Windsor!</t>
  </si>
  <si>
    <t>RSVP Essentials</t>
  </si>
  <si>
    <t>Wednesday 27 November</t>
  </si>
  <si>
    <t>info@cityprecinct.com.au</t>
  </si>
  <si>
    <t>An Intro to Influencer Marketing</t>
  </si>
  <si>
    <t>November Social : Influencer Marketing at Lord Coconut</t>
  </si>
  <si>
    <t>Wednesday the 6th of November 6:30-8:30 PM</t>
  </si>
  <si>
    <t>Ash Bagga (@ashworethat) and Anucia de Boer from @inkacreative.</t>
  </si>
  <si>
    <t>Lord Coconut, Mitchell House 358 Lonsdale St( cnr Lonsdale St and Elizabeth St</t>
  </si>
  <si>
    <t>Wednesday December 4th, at 6:30pm-8:30 PM</t>
  </si>
  <si>
    <t>The Windsor Hotel, Spring Street Melbourne</t>
  </si>
  <si>
    <t>Swensk in Conversation with Sally Mackinnon</t>
  </si>
  <si>
    <t>October: Get Social at Swensk</t>
  </si>
  <si>
    <t>Swensk Level 1, 230 Little Collins St</t>
  </si>
  <si>
    <t>Wednesday 9th October 6:30 - 8:30pm</t>
  </si>
  <si>
    <t>hayley@cityprecinct.com.au</t>
  </si>
  <si>
    <t>Learn Marketing on a budget at Gray Reid Gallery</t>
  </si>
  <si>
    <t>Gray Reid Gallery, 156 Collins St, Melbourne</t>
  </si>
  <si>
    <t>Wednesday 11th September 6:30pm - 8:30pm</t>
  </si>
  <si>
    <t>Danielle Poulous</t>
  </si>
  <si>
    <t>August Social at Kinfolk!</t>
  </si>
  <si>
    <t>Wednesday 7 August, 6.30-8.30pm</t>
  </si>
  <si>
    <t>Kinfolk   673 Bourke Street, Melbourne</t>
  </si>
  <si>
    <t>An Evening Escape at Hearns Hobbies!</t>
  </si>
  <si>
    <t>Eira makes Copywriting Heroes of us at Laneway Learning!</t>
  </si>
  <si>
    <t>News</t>
  </si>
  <si>
    <t>Save the Date: July social at Hearns Hobbies</t>
  </si>
  <si>
    <t>June Social: Copywriting at Laneway Learning</t>
  </si>
  <si>
    <t>Copywriting workshop with Eira Joy</t>
  </si>
  <si>
    <t>Wednesday 19 June 6.30 - 8.30pm</t>
  </si>
  <si>
    <t>Pole Pole</t>
  </si>
  <si>
    <t>April Social at The Melbourne Athenaeum Library</t>
  </si>
  <si>
    <t>Journal Café</t>
  </si>
  <si>
    <t>Upcoming Socials: April at Michaels Cameras</t>
  </si>
  <si>
    <t>March Social: Collaboration for Small Business</t>
  </si>
  <si>
    <t>Tapping into Tourism at Krimper Cafe</t>
  </si>
  <si>
    <t>Destination Melbourne</t>
  </si>
  <si>
    <t>Wednesday 16th May</t>
  </si>
  <si>
    <t>Krimper Café</t>
  </si>
  <si>
    <t>GO DIGITAL! WITH LANEWAY LEARNING, LEVANTINE HILL AND LA KUAIZI</t>
  </si>
  <si>
    <t>Dan Pinne</t>
  </si>
  <si>
    <t>Butcher's Diner Autumn Breakfast</t>
  </si>
  <si>
    <t>guest speakers from City of Melbourne</t>
  </si>
  <si>
    <t>7.30am Tuesday 21st March (finish around 9am)</t>
  </si>
  <si>
    <t>Butchers Diner, 10 Bourke Street </t>
  </si>
  <si>
    <t>CITY PRECINCT SOCIAL</t>
  </si>
  <si>
    <t>Tuesday 20th February TIME: 6:30 - 8:30pm</t>
  </si>
  <si>
    <t>Kelvin Club, Melbourne Place (off Russell Street)</t>
  </si>
  <si>
    <t>WEDNESDAY 13th DECEMBER TIME: 6.30pm - 8.30pm</t>
  </si>
  <si>
    <t>Adelphi Hotel Rooftop</t>
  </si>
  <si>
    <t>DECEMBER 2017: CITY PRECINCT CHRISTMAS IN THE SKY!</t>
  </si>
  <si>
    <t>October Trivia Night</t>
  </si>
  <si>
    <t>Wednesday 25th October 6.30pm - 8.30pm</t>
  </si>
  <si>
    <t>The Kelvin Club </t>
  </si>
  <si>
    <t>Put a 'Spring' in your step! - September Networking</t>
  </si>
  <si>
    <t>City Precinct ANNUAL GENERAL MEETING 2017</t>
  </si>
  <si>
    <t>Retail Leasing... but first let's have a drink! - August Networking</t>
  </si>
  <si>
    <t>6:00pm - 7:00pm @ polēpolē: Networking: Happy Hour Drinks</t>
  </si>
  <si>
    <t>Events and News</t>
  </si>
  <si>
    <t>Event/ News</t>
  </si>
  <si>
    <t>Drinks, Food &amp; A Tour Unlike Any Other! - July Networking</t>
  </si>
  <si>
    <t>Event Date</t>
  </si>
  <si>
    <t>Monday - Friday 9.30am - 6pm Saturday - 10am - 5pm Sunday - Closed</t>
  </si>
  <si>
    <t>Hearns Hobbies 295 Flinders Street, Melbourne</t>
  </si>
  <si>
    <t>Wednesday 10 July 6.30 - 8.30pm</t>
  </si>
  <si>
    <t>The Melbourne Athenaeum Library Level 1, 188 Collins St</t>
  </si>
  <si>
    <t>Wednesday, September 20 Time: 6.00-6.45 - G&amp;T's and Men’s Sports Fashion @ The Practical Man 7.00-7.45 - Bubbles, Sweet Treats and Women’s Contemporary Shoes @ Habbot 8.00-8.45 - Cheese, Wine Tasting &amp; Men’s Designer Jewellery @ Lord Coconut</t>
  </si>
  <si>
    <t>The Practical Man - Scott Alley, 237 Flinders Lane Habbot - Shop 23, Royal Arcade, 355 Bourke Street Lord Coconut - Level 5 Mitchell House, Corner Lonsdale &amp; Elizabeth Street</t>
  </si>
  <si>
    <t>1/267 Little Collins Street, Melbourne Then we'll take a short walk a few doors down to....7:00pm onwards @ Miss Fox: Networking: Presentations, Canapes &amp; More Drinks! 285 Little Collins Street, Melbourne</t>
  </si>
  <si>
    <t>Catering</t>
  </si>
  <si>
    <t>Drinks and light catering</t>
  </si>
  <si>
    <t>JULY NETWORKING EVENT - City Session</t>
  </si>
  <si>
    <t>sessions@cityprecinct.com.au</t>
  </si>
  <si>
    <t>Festival of St/ Eve</t>
  </si>
  <si>
    <t>The New look St/Eve</t>
  </si>
  <si>
    <t>29 August - 5 September 2019</t>
  </si>
  <si>
    <t>Swanston Hall, Melbourne Town Hall</t>
  </si>
  <si>
    <t>The Fashion Tour</t>
  </si>
  <si>
    <t>Starting from Melbourne Town Hall.</t>
  </si>
  <si>
    <t>Tuesday 3 September - 1.30pm &amp; 3.00pm Wednesday 4 September - 12.30pm &amp; 2.00pm</t>
  </si>
  <si>
    <t>Festival of ST/EVE - Meet the Maker</t>
  </si>
  <si>
    <t>Festival of ST/EVE M/FW Marketplace Melbourne Town Hall Swanston Hall</t>
  </si>
  <si>
    <t>Meet the Maker: Balthasar Jewellery</t>
  </si>
  <si>
    <t>Neil Balthasar</t>
  </si>
  <si>
    <t>Thursday 29, Friday 30 or Saturday 31 August</t>
  </si>
  <si>
    <t>Meet the Maker: Carl Navè</t>
  </si>
  <si>
    <t>1:00 pm Tuesday 3, Wednesday 4 or Thursday 5 September</t>
  </si>
  <si>
    <t>Carl</t>
  </si>
  <si>
    <t>Marketplace</t>
  </si>
  <si>
    <t>Meet the Maker: Erika &amp; Jago</t>
  </si>
  <si>
    <t>Hilda and Jago</t>
  </si>
  <si>
    <t>Tuesday 3, Wednesday 4 and Thursday 5 September.</t>
  </si>
  <si>
    <t>Meet the Maker: Gray Reid Gallery</t>
  </si>
  <si>
    <t>Monday 2 – Thursday, 5 September</t>
  </si>
  <si>
    <t>Gray Reid Gallery 156 Collins Street Melbourne</t>
  </si>
  <si>
    <t>Meet the Maker: Kara Baker</t>
  </si>
  <si>
    <t>Saturday 31 August or after 4.30pm on Tuesday, 3 and Wednesday 4 September</t>
  </si>
  <si>
    <t>onsite</t>
  </si>
  <si>
    <t>Meet the Maker: Lord Coconut</t>
  </si>
  <si>
    <t>Lord Coconut Friday 30 August from 4.30pm - 9.30pm Artist Zora Bell Boyd Saturday 31 August, 11.00am - 2pm Artist Nerea Li Santi Saturday 31 August, 2.00pm - 5.00pm Artist Gillian Hillman Sunday 1 September, 11.00am - 4.00pm Artist Ali Alexander Sunday 1 September, 4.00pm - 8.30pm</t>
  </si>
  <si>
    <t>Meet the Maker: Serena Lindeman Millinery</t>
  </si>
  <si>
    <t>Thursday, 29 August until Sunday 1 September</t>
  </si>
  <si>
    <t>Serena</t>
  </si>
  <si>
    <t>Meet the Maker: V &amp; J Mensware</t>
  </si>
  <si>
    <t>Rick Miolo</t>
  </si>
  <si>
    <t>on site</t>
  </si>
  <si>
    <t>Thursday 29 and Friday, 30 August</t>
  </si>
  <si>
    <t>Introducing Alida Milani and the Festival of St/Eve</t>
  </si>
  <si>
    <t>Info@cityprecinct.com.au</t>
  </si>
  <si>
    <t>29 August - 5 September</t>
  </si>
  <si>
    <t>Melbourne Fashion Week Marketplace at the Melbourne Town Hall</t>
  </si>
  <si>
    <t>FESTIVAL OF STEVE 2018</t>
  </si>
  <si>
    <t>Tell us what you want in 2020</t>
  </si>
  <si>
    <t>A Note from the President</t>
  </si>
  <si>
    <t>Gallery Milestones at the Nicholas Building</t>
  </si>
  <si>
    <t>info@cityprecint.com.au</t>
  </si>
  <si>
    <t>Homelessness inquiry begins public hearings</t>
  </si>
  <si>
    <t>Legislative Council Committee Room at Parliament House</t>
  </si>
  <si>
    <t>Friday 22 November 2019, 9:30 am to 4:15 pm</t>
  </si>
  <si>
    <t>Meet the Member: Jo from Eyes On Queen Street</t>
  </si>
  <si>
    <t>2019 Annual General Meeting</t>
  </si>
  <si>
    <t>The Kelvin Club Presidents Room, 14-30 Melbourne Place, Melbourne 3000 (Including light refreshments)</t>
  </si>
  <si>
    <t>Tuesday 22nd October 6.30 pm</t>
  </si>
  <si>
    <t>If you would like to attend the AGM, you must RSVP by Friday the 18th October, 2019 </t>
  </si>
  <si>
    <t>Celebrating Small Business in the Big City!</t>
  </si>
  <si>
    <t>The Melbourne Town Hall Visitor Information Hub</t>
  </si>
  <si>
    <t>October 8 to 25, 2019.</t>
  </si>
  <si>
    <t> info@cityprecinct.com.au</t>
  </si>
  <si>
    <t>Export Grant for Walk Melbourne Tours!</t>
  </si>
  <si>
    <t>Opportunity: Visitors Hub Activation</t>
  </si>
  <si>
    <t>Wednesday 21st August, 8.30am  at Journal Canteen 1/253 Flinders Lane (upstairs) OR Thursday 22nd August, 6.30pm at The Kelvin Club 14-30 Melbourne Place</t>
  </si>
  <si>
    <t>light refreshment</t>
  </si>
  <si>
    <t>One Very Bright Milliner!</t>
  </si>
  <si>
    <t>M/FW Retail Activation</t>
  </si>
  <si>
    <t>Coming Soon: Flinders Quarter Augmented Art Walk</t>
  </si>
  <si>
    <t>14th of August 2019 until the 14th of September 2019.</t>
  </si>
  <si>
    <t>Lord Mayor's Commendations 2019</t>
  </si>
  <si>
    <t>July 1 - 15</t>
  </si>
  <si>
    <t>Block Arcade</t>
  </si>
  <si>
    <t>Kinfolk takes the cake at the Business 3000+ Awards</t>
  </si>
  <si>
    <t>Wednesday 7 August 6.30-8.30pm</t>
  </si>
  <si>
    <t>KINFOLK 673 Bourke Street</t>
  </si>
  <si>
    <t>Alipay Melbourne City Card</t>
  </si>
  <si>
    <t>5.30pm for 6pm start until 7.45pm Thursday 11 July</t>
  </si>
  <si>
    <t>Swanston Hall, Ground Floor, Melbourne Town Hall, 90-130 Swanston St, Melbourne</t>
  </si>
  <si>
    <t>via Eventbrite by Monday 8 July</t>
  </si>
  <si>
    <t>Three Ways to Promote Your Business or Event for Free</t>
  </si>
  <si>
    <t>Introducing Kinfolk - The cafe that gives a fork</t>
  </si>
  <si>
    <t>MembersDescription</t>
  </si>
  <si>
    <t>Images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</si>
</sst>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C3C3C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left" wrapText="1"/>
    </xf>
    <xf numFmtId="0" fontId="5" fillId="3" borderId="1" xfId="1" applyFont="1" applyFill="1" applyBorder="1" applyAlignment="1" applyProtection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3" xfId="0" applyFont="1" applyBorder="1"/>
    <xf numFmtId="0" fontId="0" fillId="0" borderId="3" xfId="0" applyBorder="1"/>
    <xf numFmtId="0" fontId="13" fillId="2" borderId="1" xfId="0" applyFont="1" applyFill="1" applyBorder="1" applyAlignment="1">
      <alignment horizontal="left" wrapText="1"/>
    </xf>
    <xf numFmtId="0" fontId="15" fillId="3" borderId="1" xfId="1" applyFont="1" applyFill="1" applyBorder="1" applyAlignment="1" applyProtection="1">
      <alignment horizontal="left" wrapText="1"/>
    </xf>
    <xf numFmtId="15" fontId="3" fillId="3" borderId="1" xfId="0" applyNumberFormat="1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15" fillId="3" borderId="2" xfId="1" applyFont="1" applyFill="1" applyBorder="1" applyAlignment="1" applyProtection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1" fillId="3" borderId="1" xfId="1" applyFill="1" applyBorder="1" applyAlignment="1" applyProtection="1">
      <alignment horizontal="left" wrapText="1"/>
    </xf>
    <xf numFmtId="0" fontId="8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5" fontId="3" fillId="3" borderId="5" xfId="0" applyNumberFormat="1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4" fillId="3" borderId="1" xfId="1" applyFont="1" applyFill="1" applyBorder="1" applyAlignment="1" applyProtection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10" fillId="6" borderId="0" xfId="0" applyFont="1" applyFill="1" applyAlignment="1">
      <alignment horizontal="center" wrapText="1"/>
    </xf>
    <xf numFmtId="0" fontId="12" fillId="6" borderId="4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karabaker.com/" TargetMode="External"/><Relationship Id="rId117" Type="http://schemas.openxmlformats.org/officeDocument/2006/relationships/hyperlink" Target="http://www.gingerolive.com.au/" TargetMode="External"/><Relationship Id="rId21" Type="http://schemas.openxmlformats.org/officeDocument/2006/relationships/hyperlink" Target="http://www.eyeson.com.au/" TargetMode="External"/><Relationship Id="rId42" Type="http://schemas.openxmlformats.org/officeDocument/2006/relationships/hyperlink" Target="mailto:suzi@suzizutic.com" TargetMode="External"/><Relationship Id="rId47" Type="http://schemas.openxmlformats.org/officeDocument/2006/relationships/hyperlink" Target="mailto:sinkonah@outlook.com" TargetMode="External"/><Relationship Id="rId63" Type="http://schemas.openxmlformats.org/officeDocument/2006/relationships/hyperlink" Target="http://www.thehellobureau.com/" TargetMode="External"/><Relationship Id="rId68" Type="http://schemas.openxmlformats.org/officeDocument/2006/relationships/hyperlink" Target="mailto:sales@australianbydesign.com.au" TargetMode="External"/><Relationship Id="rId84" Type="http://schemas.openxmlformats.org/officeDocument/2006/relationships/hyperlink" Target="mailto:info@ricepaperscissors.com.au" TargetMode="External"/><Relationship Id="rId89" Type="http://schemas.openxmlformats.org/officeDocument/2006/relationships/hyperlink" Target="mailto:info@meyersplace.com.au" TargetMode="External"/><Relationship Id="rId112" Type="http://schemas.openxmlformats.org/officeDocument/2006/relationships/hyperlink" Target="mailto:info@flg.com.au" TargetMode="External"/><Relationship Id="rId133" Type="http://schemas.openxmlformats.org/officeDocument/2006/relationships/hyperlink" Target="http://www.walkmelbourne.com.au/" TargetMode="External"/><Relationship Id="rId138" Type="http://schemas.openxmlformats.org/officeDocument/2006/relationships/hyperlink" Target="http://www.lanewaylearning.com/" TargetMode="External"/><Relationship Id="rId16" Type="http://schemas.openxmlformats.org/officeDocument/2006/relationships/hyperlink" Target="mailto:erika.boutique@hotmail.com" TargetMode="External"/><Relationship Id="rId107" Type="http://schemas.openxmlformats.org/officeDocument/2006/relationships/hyperlink" Target="mailto:reception@thealignmentstudio.com.au" TargetMode="External"/><Relationship Id="rId11" Type="http://schemas.openxmlformats.org/officeDocument/2006/relationships/hyperlink" Target="http://https/www.drizabone.com.au" TargetMode="External"/><Relationship Id="rId32" Type="http://schemas.openxmlformats.org/officeDocument/2006/relationships/hyperlink" Target="https://www.mensbiz.com.au/" TargetMode="External"/><Relationship Id="rId37" Type="http://schemas.openxmlformats.org/officeDocument/2006/relationships/hyperlink" Target="mailto:quists@quistscoffee.com.au" TargetMode="External"/><Relationship Id="rId53" Type="http://schemas.openxmlformats.org/officeDocument/2006/relationships/hyperlink" Target="mailto:info@melbournalia.com.au" TargetMode="External"/><Relationship Id="rId58" Type="http://schemas.openxmlformats.org/officeDocument/2006/relationships/hyperlink" Target="http://www.quistscoffee.com.au/" TargetMode="External"/><Relationship Id="rId74" Type="http://schemas.openxmlformats.org/officeDocument/2006/relationships/hyperlink" Target="mailto:info@gingerolive.com.au" TargetMode="External"/><Relationship Id="rId79" Type="http://schemas.openxmlformats.org/officeDocument/2006/relationships/hyperlink" Target="mailto:info@melbournefoodexperiences.com.au" TargetMode="External"/><Relationship Id="rId102" Type="http://schemas.openxmlformats.org/officeDocument/2006/relationships/hyperlink" Target="http://info@flg.com.au/" TargetMode="External"/><Relationship Id="rId123" Type="http://schemas.openxmlformats.org/officeDocument/2006/relationships/hyperlink" Target="http://www.no-vacancy.com.au/" TargetMode="External"/><Relationship Id="rId128" Type="http://schemas.openxmlformats.org/officeDocument/2006/relationships/hyperlink" Target="http://www.chocoholictours.com.au/" TargetMode="External"/><Relationship Id="rId144" Type="http://schemas.openxmlformats.org/officeDocument/2006/relationships/hyperlink" Target="http://www.travellingconversations.com/" TargetMode="External"/><Relationship Id="rId5" Type="http://schemas.openxmlformats.org/officeDocument/2006/relationships/hyperlink" Target="mailto:sales@carlnave.com.au" TargetMode="External"/><Relationship Id="rId90" Type="http://schemas.openxmlformats.org/officeDocument/2006/relationships/hyperlink" Target="mailto:nicki@puntingonthelake.com.au" TargetMode="External"/><Relationship Id="rId95" Type="http://schemas.openxmlformats.org/officeDocument/2006/relationships/hyperlink" Target="http://www.thehotelwindsor.com.au/" TargetMode="External"/><Relationship Id="rId22" Type="http://schemas.openxmlformats.org/officeDocument/2006/relationships/hyperlink" Target="http://www.grayreidgallery.com.au/" TargetMode="External"/><Relationship Id="rId27" Type="http://schemas.openxmlformats.org/officeDocument/2006/relationships/hyperlink" Target="http://www.opals.net.au/" TargetMode="External"/><Relationship Id="rId43" Type="http://schemas.openxmlformats.org/officeDocument/2006/relationships/hyperlink" Target="mailto:curious@swensk.com" TargetMode="External"/><Relationship Id="rId48" Type="http://schemas.openxmlformats.org/officeDocument/2006/relationships/hyperlink" Target="mailto:info@piecesofeight.com.au" TargetMode="External"/><Relationship Id="rId64" Type="http://schemas.openxmlformats.org/officeDocument/2006/relationships/hyperlink" Target="http://www.vandj.com.au/" TargetMode="External"/><Relationship Id="rId69" Type="http://schemas.openxmlformats.org/officeDocument/2006/relationships/hyperlink" Target="http://www.australianbydesign.com.au/" TargetMode="External"/><Relationship Id="rId113" Type="http://schemas.openxmlformats.org/officeDocument/2006/relationships/hyperlink" Target="http://www.adelphi.com.au/" TargetMode="External"/><Relationship Id="rId118" Type="http://schemas.openxmlformats.org/officeDocument/2006/relationships/hyperlink" Target="http://www.harleyhouse.com.au/" TargetMode="External"/><Relationship Id="rId134" Type="http://schemas.openxmlformats.org/officeDocument/2006/relationships/hyperlink" Target="http://www.questapartments.com.au/" TargetMode="External"/><Relationship Id="rId139" Type="http://schemas.openxmlformats.org/officeDocument/2006/relationships/hyperlink" Target="http://www.mckenzieross.com.au/" TargetMode="External"/><Relationship Id="rId80" Type="http://schemas.openxmlformats.org/officeDocument/2006/relationships/hyperlink" Target="mailto:info@kirkswinebar.com" TargetMode="External"/><Relationship Id="rId85" Type="http://schemas.openxmlformats.org/officeDocument/2006/relationships/hyperlink" Target="mailto:memberenquiries@kelvinclub.com" TargetMode="External"/><Relationship Id="rId3" Type="http://schemas.openxmlformats.org/officeDocument/2006/relationships/hyperlink" Target="mailto:info@bared.com.au" TargetMode="External"/><Relationship Id="rId12" Type="http://schemas.openxmlformats.org/officeDocument/2006/relationships/hyperlink" Target="mailto:flinders@egetal.com.au" TargetMode="External"/><Relationship Id="rId17" Type="http://schemas.openxmlformats.org/officeDocument/2006/relationships/hyperlink" Target="http://www.erikaboutique.com.au/" TargetMode="External"/><Relationship Id="rId25" Type="http://schemas.openxmlformats.org/officeDocument/2006/relationships/hyperlink" Target="http://https/www.jaydillon.com.au/" TargetMode="External"/><Relationship Id="rId33" Type="http://schemas.openxmlformats.org/officeDocument/2006/relationships/hyperlink" Target="http://https/michaels.com.au" TargetMode="External"/><Relationship Id="rId38" Type="http://schemas.openxmlformats.org/officeDocument/2006/relationships/hyperlink" Target="mailto:info@rooftophoney.com.au" TargetMode="External"/><Relationship Id="rId46" Type="http://schemas.openxmlformats.org/officeDocument/2006/relationships/hyperlink" Target="mailto:info@wawachocolatier.com.au" TargetMode="External"/><Relationship Id="rId59" Type="http://schemas.openxmlformats.org/officeDocument/2006/relationships/hyperlink" Target="http://www.rooftophoney.com.au/" TargetMode="External"/><Relationship Id="rId67" Type="http://schemas.openxmlformats.org/officeDocument/2006/relationships/hyperlink" Target="http://www.124shoes.com.au/" TargetMode="External"/><Relationship Id="rId103" Type="http://schemas.openxmlformats.org/officeDocument/2006/relationships/hyperlink" Target="mailto:melbourne@lanewaylearning.com" TargetMode="External"/><Relationship Id="rId108" Type="http://schemas.openxmlformats.org/officeDocument/2006/relationships/hyperlink" Target="mailto:library@melbourneathenaeum.org.au" TargetMode="External"/><Relationship Id="rId116" Type="http://schemas.openxmlformats.org/officeDocument/2006/relationships/hyperlink" Target="http://www.caterinas.com.au/" TargetMode="External"/><Relationship Id="rId124" Type="http://schemas.openxmlformats.org/officeDocument/2006/relationships/hyperlink" Target="http://www.polepolebar.com.au/" TargetMode="External"/><Relationship Id="rId129" Type="http://schemas.openxmlformats.org/officeDocument/2006/relationships/hyperlink" Target="http://www.hiddensecretstours.com/" TargetMode="External"/><Relationship Id="rId137" Type="http://schemas.openxmlformats.org/officeDocument/2006/relationships/hyperlink" Target="http://www.firstchapteragency.com/" TargetMode="External"/><Relationship Id="rId20" Type="http://schemas.openxmlformats.org/officeDocument/2006/relationships/hyperlink" Target="mailto:queenstreet@eyeson.com.au" TargetMode="External"/><Relationship Id="rId41" Type="http://schemas.openxmlformats.org/officeDocument/2006/relationships/hyperlink" Target="mailto:stephen@stephenmclaughlangallery.com.au" TargetMode="External"/><Relationship Id="rId54" Type="http://schemas.openxmlformats.org/officeDocument/2006/relationships/hyperlink" Target="mailto:mareabrightmilliner@gmail.com" TargetMode="External"/><Relationship Id="rId62" Type="http://schemas.openxmlformats.org/officeDocument/2006/relationships/hyperlink" Target="http://www.swensk.com/" TargetMode="External"/><Relationship Id="rId70" Type="http://schemas.openxmlformats.org/officeDocument/2006/relationships/hyperlink" Target="mailto:reception@adelphi.com.au" TargetMode="External"/><Relationship Id="rId75" Type="http://schemas.openxmlformats.org/officeDocument/2006/relationships/hyperlink" Target="http://www.guildcafe.com.au/" TargetMode="External"/><Relationship Id="rId83" Type="http://schemas.openxmlformats.org/officeDocument/2006/relationships/hyperlink" Target="mailto:jambo@polepolebar.com.au" TargetMode="External"/><Relationship Id="rId88" Type="http://schemas.openxmlformats.org/officeDocument/2006/relationships/hyperlink" Target="mailto:tours@hiddensecretstours.com" TargetMode="External"/><Relationship Id="rId91" Type="http://schemas.openxmlformats.org/officeDocument/2006/relationships/hyperlink" Target="mailto:sally@styledbysally.com.au" TargetMode="External"/><Relationship Id="rId96" Type="http://schemas.openxmlformats.org/officeDocument/2006/relationships/hyperlink" Target="mailto:contact@artaviso.com" TargetMode="External"/><Relationship Id="rId111" Type="http://schemas.openxmlformats.org/officeDocument/2006/relationships/hyperlink" Target="mailto:guild@almondmilkco.com.au" TargetMode="External"/><Relationship Id="rId132" Type="http://schemas.openxmlformats.org/officeDocument/2006/relationships/hyperlink" Target="http://www.styledbysally.com.au/" TargetMode="External"/><Relationship Id="rId140" Type="http://schemas.openxmlformats.org/officeDocument/2006/relationships/hyperlink" Target="http://www.pabarrett.com/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mailto:info@balthasar.com.au" TargetMode="External"/><Relationship Id="rId6" Type="http://schemas.openxmlformats.org/officeDocument/2006/relationships/hyperlink" Target="https://carlnave.com.au/" TargetMode="External"/><Relationship Id="rId15" Type="http://schemas.openxmlformats.org/officeDocument/2006/relationships/hyperlink" Target="http://www.elkaccessories.com/" TargetMode="External"/><Relationship Id="rId23" Type="http://schemas.openxmlformats.org/officeDocument/2006/relationships/hyperlink" Target="https://www.hearnshobbies.com/" TargetMode="External"/><Relationship Id="rId28" Type="http://schemas.openxmlformats.org/officeDocument/2006/relationships/hyperlink" Target="mailto:info@lordcoconut.com" TargetMode="External"/><Relationship Id="rId36" Type="http://schemas.openxmlformats.org/officeDocument/2006/relationships/hyperlink" Target="https://www.piecesofeight.com.au/" TargetMode="External"/><Relationship Id="rId49" Type="http://schemas.openxmlformats.org/officeDocument/2006/relationships/hyperlink" Target="mailto:info@mrwares.com" TargetMode="External"/><Relationship Id="rId57" Type="http://schemas.openxmlformats.org/officeDocument/2006/relationships/hyperlink" Target="http://www.lordcoconut.com/" TargetMode="External"/><Relationship Id="rId106" Type="http://schemas.openxmlformats.org/officeDocument/2006/relationships/hyperlink" Target="mailto:info@princeandmercer.com" TargetMode="External"/><Relationship Id="rId114" Type="http://schemas.openxmlformats.org/officeDocument/2006/relationships/hyperlink" Target="http://www.bottega.com.au/" TargetMode="External"/><Relationship Id="rId119" Type="http://schemas.openxmlformats.org/officeDocument/2006/relationships/hyperlink" Target="http://www.journalcafe.com.au/" TargetMode="External"/><Relationship Id="rId127" Type="http://schemas.openxmlformats.org/officeDocument/2006/relationships/hyperlink" Target="http://www.amazingmelbournetours.com/" TargetMode="External"/><Relationship Id="rId10" Type="http://schemas.openxmlformats.org/officeDocument/2006/relationships/hyperlink" Target="http://www.clementines.com.au/" TargetMode="External"/><Relationship Id="rId31" Type="http://schemas.openxmlformats.org/officeDocument/2006/relationships/hyperlink" Target="http://www.melbournebooks.com.au/" TargetMode="External"/><Relationship Id="rId44" Type="http://schemas.openxmlformats.org/officeDocument/2006/relationships/hyperlink" Target="mailto:cass@thehellobureau.com" TargetMode="External"/><Relationship Id="rId52" Type="http://schemas.openxmlformats.org/officeDocument/2006/relationships/hyperlink" Target="mailto:info@melbournebooks.com.au" TargetMode="External"/><Relationship Id="rId60" Type="http://schemas.openxmlformats.org/officeDocument/2006/relationships/hyperlink" Target="http://www.stephenmclaughlangallery.com.au/" TargetMode="External"/><Relationship Id="rId65" Type="http://schemas.openxmlformats.org/officeDocument/2006/relationships/hyperlink" Target="http://www.wawachocolatier.com.a/" TargetMode="External"/><Relationship Id="rId73" Type="http://schemas.openxmlformats.org/officeDocument/2006/relationships/hyperlink" Target="mailto:info@caterinas.com.au" TargetMode="External"/><Relationship Id="rId78" Type="http://schemas.openxmlformats.org/officeDocument/2006/relationships/hyperlink" Target="mailto:info@kinfolk.org.au" TargetMode="External"/><Relationship Id="rId81" Type="http://schemas.openxmlformats.org/officeDocument/2006/relationships/hyperlink" Target="https://www.neapoliwinebar.com.au/" TargetMode="External"/><Relationship Id="rId86" Type="http://schemas.openxmlformats.org/officeDocument/2006/relationships/hyperlink" Target="mailto:michelle@amazingmelbournetours.com" TargetMode="External"/><Relationship Id="rId94" Type="http://schemas.openxmlformats.org/officeDocument/2006/relationships/hyperlink" Target="mailto:info@thw.com.au" TargetMode="External"/><Relationship Id="rId99" Type="http://schemas.openxmlformats.org/officeDocument/2006/relationships/hyperlink" Target="mailto:enquiries@dentalhealth.com.au" TargetMode="External"/><Relationship Id="rId101" Type="http://schemas.openxmlformats.org/officeDocument/2006/relationships/hyperlink" Target="mailto:hello@firstchapteragency.com" TargetMode="External"/><Relationship Id="rId122" Type="http://schemas.openxmlformats.org/officeDocument/2006/relationships/hyperlink" Target="http://www.melbournefoodexperiences.com.au/" TargetMode="External"/><Relationship Id="rId130" Type="http://schemas.openxmlformats.org/officeDocument/2006/relationships/hyperlink" Target="http://www.meyersplace.com.au/" TargetMode="External"/><Relationship Id="rId135" Type="http://schemas.openxmlformats.org/officeDocument/2006/relationships/hyperlink" Target="http://www.businessincontrol.com.au/" TargetMode="External"/><Relationship Id="rId143" Type="http://schemas.openxmlformats.org/officeDocument/2006/relationships/hyperlink" Target="http://www.melbourneathenaeum.org.au/" TargetMode="External"/><Relationship Id="rId4" Type="http://schemas.openxmlformats.org/officeDocument/2006/relationships/hyperlink" Target="https://bared.com.au/" TargetMode="External"/><Relationship Id="rId9" Type="http://schemas.openxmlformats.org/officeDocument/2006/relationships/hyperlink" Target="mailto:clementine@clementines.com.au" TargetMode="External"/><Relationship Id="rId13" Type="http://schemas.openxmlformats.org/officeDocument/2006/relationships/hyperlink" Target="http://www.egetal.com.au/" TargetMode="External"/><Relationship Id="rId18" Type="http://schemas.openxmlformats.org/officeDocument/2006/relationships/hyperlink" Target="mailto:hello@estherweinberg.com.au" TargetMode="External"/><Relationship Id="rId39" Type="http://schemas.openxmlformats.org/officeDocument/2006/relationships/hyperlink" Target="https://sammyshairgrooming.com/" TargetMode="External"/><Relationship Id="rId109" Type="http://schemas.openxmlformats.org/officeDocument/2006/relationships/hyperlink" Target="mailto:info@travellingconversations.com" TargetMode="External"/><Relationship Id="rId34" Type="http://schemas.openxmlformats.org/officeDocument/2006/relationships/hyperlink" Target="http://www.morkchocolate.com.au/" TargetMode="External"/><Relationship Id="rId50" Type="http://schemas.openxmlformats.org/officeDocument/2006/relationships/hyperlink" Target="mailto:contact@morkchocolate.com.au" TargetMode="External"/><Relationship Id="rId55" Type="http://schemas.openxmlformats.org/officeDocument/2006/relationships/hyperlink" Target="mailto:info@opals.net.au" TargetMode="External"/><Relationship Id="rId76" Type="http://schemas.openxmlformats.org/officeDocument/2006/relationships/hyperlink" Target="mailto:info@harleyhouse.com.au" TargetMode="External"/><Relationship Id="rId97" Type="http://schemas.openxmlformats.org/officeDocument/2006/relationships/hyperlink" Target="http://artaviso.com/" TargetMode="External"/><Relationship Id="rId104" Type="http://schemas.openxmlformats.org/officeDocument/2006/relationships/hyperlink" Target="mailto:info@mckenzieross.com.au" TargetMode="External"/><Relationship Id="rId120" Type="http://schemas.openxmlformats.org/officeDocument/2006/relationships/hyperlink" Target="http://www.kinfolk.org.au/" TargetMode="External"/><Relationship Id="rId125" Type="http://schemas.openxmlformats.org/officeDocument/2006/relationships/hyperlink" Target="http://www.ricepaperscissors.com.au/" TargetMode="External"/><Relationship Id="rId141" Type="http://schemas.openxmlformats.org/officeDocument/2006/relationships/hyperlink" Target="http://www.princeandmercer.com/" TargetMode="External"/><Relationship Id="rId7" Type="http://schemas.openxmlformats.org/officeDocument/2006/relationships/hyperlink" Target="mailto:info@chocamama.com.au" TargetMode="External"/><Relationship Id="rId71" Type="http://schemas.openxmlformats.org/officeDocument/2006/relationships/hyperlink" Target="mailto:dine@bottega.com.au" TargetMode="External"/><Relationship Id="rId92" Type="http://schemas.openxmlformats.org/officeDocument/2006/relationships/hyperlink" Target="mailto:questions@walkmelbourne.com.au" TargetMode="External"/><Relationship Id="rId2" Type="http://schemas.openxmlformats.org/officeDocument/2006/relationships/hyperlink" Target="http://www.balthasar.com.au/" TargetMode="External"/><Relationship Id="rId29" Type="http://schemas.openxmlformats.org/officeDocument/2006/relationships/hyperlink" Target="https://www.mareabright.com.au/" TargetMode="External"/><Relationship Id="rId24" Type="http://schemas.openxmlformats.org/officeDocument/2006/relationships/hyperlink" Target="mailto:info@jaydillon.com.au" TargetMode="External"/><Relationship Id="rId40" Type="http://schemas.openxmlformats.org/officeDocument/2006/relationships/hyperlink" Target="http://www.tonicsyrup.com/" TargetMode="External"/><Relationship Id="rId45" Type="http://schemas.openxmlformats.org/officeDocument/2006/relationships/hyperlink" Target="mailto:info@vandj.com.au" TargetMode="External"/><Relationship Id="rId66" Type="http://schemas.openxmlformats.org/officeDocument/2006/relationships/hyperlink" Target="mailto:info@124shoes.com.au" TargetMode="External"/><Relationship Id="rId87" Type="http://schemas.openxmlformats.org/officeDocument/2006/relationships/hyperlink" Target="mailto:Info@chocoholictours.com.au" TargetMode="External"/><Relationship Id="rId110" Type="http://schemas.openxmlformats.org/officeDocument/2006/relationships/hyperlink" Target="http://https/walks101.com" TargetMode="External"/><Relationship Id="rId115" Type="http://schemas.openxmlformats.org/officeDocument/2006/relationships/hyperlink" Target="http://www.butchersdiner.com.au/" TargetMode="External"/><Relationship Id="rId131" Type="http://schemas.openxmlformats.org/officeDocument/2006/relationships/hyperlink" Target="http://www.puntingonthelake.com.au/" TargetMode="External"/><Relationship Id="rId136" Type="http://schemas.openxmlformats.org/officeDocument/2006/relationships/hyperlink" Target="http://www.dentalhealth.com.au/" TargetMode="External"/><Relationship Id="rId61" Type="http://schemas.openxmlformats.org/officeDocument/2006/relationships/hyperlink" Target="http://www.suzizutic.com/" TargetMode="External"/><Relationship Id="rId82" Type="http://schemas.openxmlformats.org/officeDocument/2006/relationships/hyperlink" Target="mailto:info@no-vacancy.com.au" TargetMode="External"/><Relationship Id="rId19" Type="http://schemas.openxmlformats.org/officeDocument/2006/relationships/hyperlink" Target="http://www.estherweinberg.com.au/" TargetMode="External"/><Relationship Id="rId14" Type="http://schemas.openxmlformats.org/officeDocument/2006/relationships/hyperlink" Target="mailto:customerservice@elkaccessories.com.au" TargetMode="External"/><Relationship Id="rId30" Type="http://schemas.openxmlformats.org/officeDocument/2006/relationships/hyperlink" Target="http://www.melbournalia.com.au/" TargetMode="External"/><Relationship Id="rId35" Type="http://schemas.openxmlformats.org/officeDocument/2006/relationships/hyperlink" Target="http://www.mrwares.com/" TargetMode="External"/><Relationship Id="rId56" Type="http://schemas.openxmlformats.org/officeDocument/2006/relationships/hyperlink" Target="mailto:info@grayreidgallery.com.au" TargetMode="External"/><Relationship Id="rId77" Type="http://schemas.openxmlformats.org/officeDocument/2006/relationships/hyperlink" Target="mailto:info@journalcafe.com.au" TargetMode="External"/><Relationship Id="rId100" Type="http://schemas.openxmlformats.org/officeDocument/2006/relationships/hyperlink" Target="http://www.discovera.com.au/melbourne/" TargetMode="External"/><Relationship Id="rId105" Type="http://schemas.openxmlformats.org/officeDocument/2006/relationships/hyperlink" Target="mailto:info@pabarrett.com" TargetMode="External"/><Relationship Id="rId126" Type="http://schemas.openxmlformats.org/officeDocument/2006/relationships/hyperlink" Target="http://www.kelvinclub.com/" TargetMode="External"/><Relationship Id="rId8" Type="http://schemas.openxmlformats.org/officeDocument/2006/relationships/hyperlink" Target="http://www.chocamama.com/" TargetMode="External"/><Relationship Id="rId51" Type="http://schemas.openxmlformats.org/officeDocument/2006/relationships/hyperlink" Target="mailto:service@mensbiz.com.au" TargetMode="External"/><Relationship Id="rId72" Type="http://schemas.openxmlformats.org/officeDocument/2006/relationships/hyperlink" Target="mailto:info@butchersdiner.com.au" TargetMode="External"/><Relationship Id="rId93" Type="http://schemas.openxmlformats.org/officeDocument/2006/relationships/hyperlink" Target="mailto:questonbourke@questapartments.com.au" TargetMode="External"/><Relationship Id="rId98" Type="http://schemas.openxmlformats.org/officeDocument/2006/relationships/hyperlink" Target="mailto:sue@businessincontrol.com.au" TargetMode="External"/><Relationship Id="rId121" Type="http://schemas.openxmlformats.org/officeDocument/2006/relationships/hyperlink" Target="http://www.kirkswinebar.com/" TargetMode="External"/><Relationship Id="rId142" Type="http://schemas.openxmlformats.org/officeDocument/2006/relationships/hyperlink" Target="http://www.thealignmentstudio.com.a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ailto:hayley@cityprecinct.com.au/" TargetMode="External"/><Relationship Id="rId1" Type="http://schemas.openxmlformats.org/officeDocument/2006/relationships/hyperlink" Target="http://mailto:hayley@cityprecinct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opLeftCell="A11" workbookViewId="0">
      <selection activeCell="C13" sqref="C13"/>
    </sheetView>
  </sheetViews>
  <sheetFormatPr defaultRowHeight="15"/>
  <cols>
    <col min="1" max="1" width="24.140625" style="9" customWidth="1"/>
    <col min="2" max="2" width="16" style="9" customWidth="1"/>
    <col min="3" max="3" width="16.140625" style="9" customWidth="1"/>
    <col min="4" max="4" width="36.28515625" style="9" customWidth="1"/>
    <col min="5" max="5" width="14" style="9" customWidth="1"/>
    <col min="6" max="6" width="36" style="23" customWidth="1"/>
    <col min="7" max="7" width="37.85546875" style="9" customWidth="1"/>
    <col min="8" max="8" width="5.85546875" style="23" customWidth="1"/>
    <col min="9" max="9" width="38" style="23" customWidth="1"/>
    <col min="10" max="10" width="21.140625" style="23" customWidth="1"/>
  </cols>
  <sheetData>
    <row r="1" spans="1:10" s="8" customFormat="1" ht="26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7" customFormat="1" ht="31.5">
      <c r="A2" s="6" t="s">
        <v>1</v>
      </c>
      <c r="B2" s="6" t="s">
        <v>11</v>
      </c>
      <c r="C2" s="6" t="s">
        <v>2</v>
      </c>
      <c r="D2" s="6" t="s">
        <v>4</v>
      </c>
      <c r="E2" s="6" t="s">
        <v>5</v>
      </c>
      <c r="F2" s="6" t="s">
        <v>7</v>
      </c>
      <c r="G2" s="6" t="s">
        <v>9</v>
      </c>
      <c r="H2" s="6" t="s">
        <v>10</v>
      </c>
      <c r="I2" s="6" t="s">
        <v>13</v>
      </c>
      <c r="J2" s="6" t="s">
        <v>620</v>
      </c>
    </row>
    <row r="3" spans="1:10" s="2" customFormat="1" ht="25.5">
      <c r="A3" s="21">
        <v>124</v>
      </c>
      <c r="B3" s="5" t="s">
        <v>12</v>
      </c>
      <c r="C3" s="5" t="s">
        <v>3</v>
      </c>
      <c r="D3" s="3" t="s">
        <v>15</v>
      </c>
      <c r="E3" s="3" t="s">
        <v>6</v>
      </c>
      <c r="F3" s="4" t="s">
        <v>8</v>
      </c>
      <c r="G3" s="3" t="s">
        <v>16</v>
      </c>
      <c r="H3" s="28" t="str">
        <f>HYPERLINK("MembersLogos/124.jpg","logo")</f>
        <v>logo</v>
      </c>
      <c r="I3" s="4" t="s">
        <v>14</v>
      </c>
      <c r="J3" s="28" t="str">
        <f>HYPERLINK("MembersDesc/124.txt", "MembersDescription")</f>
        <v>MembersDescription</v>
      </c>
    </row>
    <row r="4" spans="1:10" s="2" customFormat="1" ht="38.25">
      <c r="A4" s="21" t="s">
        <v>17</v>
      </c>
      <c r="B4" s="5" t="s">
        <v>12</v>
      </c>
      <c r="C4" s="3" t="s">
        <v>231</v>
      </c>
      <c r="D4" s="3" t="s">
        <v>21</v>
      </c>
      <c r="E4" s="3" t="s">
        <v>18</v>
      </c>
      <c r="F4" s="4" t="s">
        <v>19</v>
      </c>
      <c r="G4" s="3" t="s">
        <v>22</v>
      </c>
      <c r="H4" s="28" t="str">
        <f>HYPERLINK("MembersLogos/AustralianByDesign.png","logo")</f>
        <v>logo</v>
      </c>
      <c r="I4" s="4" t="s">
        <v>20</v>
      </c>
      <c r="J4" s="28" t="str">
        <f>HYPERLINK("MembersDesc/australianbydesign.txt", "MembersDescription")</f>
        <v>MembersDescription</v>
      </c>
    </row>
    <row r="5" spans="1:10" s="2" customFormat="1" ht="12.75">
      <c r="A5" s="21" t="s">
        <v>26</v>
      </c>
      <c r="B5" s="5" t="s">
        <v>12</v>
      </c>
      <c r="C5" s="5" t="s">
        <v>27</v>
      </c>
      <c r="D5" s="3" t="s">
        <v>35</v>
      </c>
      <c r="E5" s="3" t="s">
        <v>23</v>
      </c>
      <c r="F5" s="4" t="s">
        <v>24</v>
      </c>
      <c r="G5" s="3" t="s">
        <v>25</v>
      </c>
      <c r="H5" s="4" t="str">
        <f>HYPERLINK("MembersLogos/Balthasar.jpg", "logo")</f>
        <v>logo</v>
      </c>
      <c r="I5" s="4" t="s">
        <v>28</v>
      </c>
      <c r="J5" s="4" t="str">
        <f>HYPERLINK("MembersDesc/balthasar.txt", "MembersDescription")</f>
        <v>MembersDescription</v>
      </c>
    </row>
    <row r="6" spans="1:10" s="2" customFormat="1" ht="38.25">
      <c r="A6" s="21" t="s">
        <v>29</v>
      </c>
      <c r="B6" s="5" t="s">
        <v>12</v>
      </c>
      <c r="C6" s="5" t="s">
        <v>30</v>
      </c>
      <c r="D6" s="3" t="s">
        <v>31</v>
      </c>
      <c r="E6" s="3" t="s">
        <v>32</v>
      </c>
      <c r="F6" s="4" t="s">
        <v>33</v>
      </c>
      <c r="G6" s="3" t="s">
        <v>36</v>
      </c>
      <c r="H6" s="4" t="str">
        <f>HYPERLINK("MembersLogos/BaredFootware.jpg", "logo")</f>
        <v>logo</v>
      </c>
      <c r="I6" s="4" t="s">
        <v>34</v>
      </c>
      <c r="J6" s="4" t="str">
        <f>HYPERLINK("MembersDesc/baredfootware.txt", "MembersDescription")</f>
        <v>MembersDescription</v>
      </c>
    </row>
    <row r="7" spans="1:10" s="2" customFormat="1" ht="12.75">
      <c r="A7" s="21" t="s">
        <v>37</v>
      </c>
      <c r="B7" s="5" t="s">
        <v>12</v>
      </c>
      <c r="C7" s="5" t="s">
        <v>38</v>
      </c>
      <c r="D7" s="3" t="s">
        <v>41</v>
      </c>
      <c r="E7" s="3" t="s">
        <v>39</v>
      </c>
      <c r="F7" s="4" t="s">
        <v>40</v>
      </c>
      <c r="G7" s="3" t="s">
        <v>25</v>
      </c>
      <c r="H7" s="4" t="str">
        <f>HYPERLINK("MembersLogos/Carl Nave.png", "logo")</f>
        <v>logo</v>
      </c>
      <c r="I7" s="4" t="s">
        <v>42</v>
      </c>
      <c r="J7" s="4" t="str">
        <f>HYPERLINK("MembersDesc/carl nave.txt", "MembersDescription")</f>
        <v>MembersDescription</v>
      </c>
    </row>
    <row r="8" spans="1:10" s="1" customFormat="1" ht="39">
      <c r="A8" s="21" t="s">
        <v>45</v>
      </c>
      <c r="B8" s="5" t="s">
        <v>232</v>
      </c>
      <c r="C8" s="3" t="s">
        <v>130</v>
      </c>
      <c r="D8" s="3" t="s">
        <v>47</v>
      </c>
      <c r="E8" s="3" t="s">
        <v>43</v>
      </c>
      <c r="F8" s="4" t="s">
        <v>44</v>
      </c>
      <c r="G8" s="3" t="s">
        <v>48</v>
      </c>
      <c r="H8" s="4" t="str">
        <f>HYPERLINK("MembersLogos/Chocomama.jpg", "logo")</f>
        <v>logo</v>
      </c>
      <c r="I8" s="4" t="s">
        <v>46</v>
      </c>
      <c r="J8" s="4" t="str">
        <f>HYPERLINK("MembersDesc/chocomama.txt", "MembersDescription")</f>
        <v>MembersDescription</v>
      </c>
    </row>
    <row r="9" spans="1:10" s="1" customFormat="1" ht="30" customHeight="1">
      <c r="A9" s="21" t="s">
        <v>50</v>
      </c>
      <c r="B9" s="5" t="s">
        <v>12</v>
      </c>
      <c r="C9" s="5" t="s">
        <v>49</v>
      </c>
      <c r="D9" s="3" t="s">
        <v>196</v>
      </c>
      <c r="E9" s="3" t="s">
        <v>51</v>
      </c>
      <c r="F9" s="4" t="s">
        <v>52</v>
      </c>
      <c r="G9" s="3" t="s">
        <v>206</v>
      </c>
      <c r="H9" s="4" t="str">
        <f>HYPERLINK("MembersLogos/Clementine.jpg", "logo")</f>
        <v>logo</v>
      </c>
      <c r="I9" s="4" t="s">
        <v>53</v>
      </c>
      <c r="J9" s="4" t="str">
        <f>HYPERLINK("MembersDesc/clementine.txt", "MembersDescription")</f>
        <v>MembersDescription</v>
      </c>
    </row>
    <row r="10" spans="1:10" s="1" customFormat="1">
      <c r="A10" s="21" t="s">
        <v>54</v>
      </c>
      <c r="B10" s="5" t="s">
        <v>12</v>
      </c>
      <c r="C10" s="5" t="s">
        <v>30</v>
      </c>
      <c r="D10" s="3" t="s">
        <v>55</v>
      </c>
      <c r="E10" s="5"/>
      <c r="F10" s="5"/>
      <c r="G10" s="5"/>
      <c r="H10" s="4" t="str">
        <f>HYPERLINK("MembersLogos/DrizaBone.png", "logo")</f>
        <v>logo</v>
      </c>
      <c r="I10" s="4" t="s">
        <v>56</v>
      </c>
      <c r="J10" s="4" t="str">
        <f>HYPERLINK("MembersDesc/drizabone.txt", "MembersDescription")</f>
        <v>MembersDescription</v>
      </c>
    </row>
    <row r="11" spans="1:10" s="1" customFormat="1" ht="29.25" customHeight="1">
      <c r="A11" s="21" t="s">
        <v>57</v>
      </c>
      <c r="B11" s="5" t="s">
        <v>12</v>
      </c>
      <c r="C11" s="5" t="s">
        <v>27</v>
      </c>
      <c r="D11" s="3" t="s">
        <v>61</v>
      </c>
      <c r="E11" s="3" t="s">
        <v>58</v>
      </c>
      <c r="F11" s="4" t="s">
        <v>59</v>
      </c>
      <c r="G11" s="3" t="s">
        <v>207</v>
      </c>
      <c r="H11" s="4" t="str">
        <f>HYPERLINK("MembersLogos/egetal.jpg", "logo")</f>
        <v>logo</v>
      </c>
      <c r="I11" s="4" t="s">
        <v>60</v>
      </c>
      <c r="J11" s="4" t="str">
        <f>HYPERLINK("MembersDesc/egetal.txt", "MembersDescription")</f>
        <v>MembersDescription</v>
      </c>
    </row>
    <row r="12" spans="1:10" s="1" customFormat="1" ht="39">
      <c r="A12" s="21" t="s">
        <v>62</v>
      </c>
      <c r="B12" s="5" t="s">
        <v>12</v>
      </c>
      <c r="C12" s="5" t="s">
        <v>30</v>
      </c>
      <c r="D12" s="5"/>
      <c r="E12" s="3" t="s">
        <v>63</v>
      </c>
      <c r="F12" s="4" t="s">
        <v>64</v>
      </c>
      <c r="G12" s="3" t="s">
        <v>208</v>
      </c>
      <c r="H12" s="4" t="str">
        <f>HYPERLINK("MembersLogos/elk.png", "logo")</f>
        <v>logo</v>
      </c>
      <c r="I12" s="4" t="s">
        <v>65</v>
      </c>
      <c r="J12" s="4" t="str">
        <f>HYPERLINK("MembersDesc/elk.txt", "MembersDescription")</f>
        <v>MembersDescription</v>
      </c>
    </row>
    <row r="13" spans="1:10" ht="39">
      <c r="A13" s="21" t="s">
        <v>66</v>
      </c>
      <c r="B13" s="5" t="s">
        <v>12</v>
      </c>
      <c r="C13" s="5" t="s">
        <v>67</v>
      </c>
      <c r="D13" s="3" t="s">
        <v>197</v>
      </c>
      <c r="E13" s="3" t="s">
        <v>68</v>
      </c>
      <c r="F13" s="4" t="s">
        <v>69</v>
      </c>
      <c r="G13" s="3" t="s">
        <v>209</v>
      </c>
      <c r="H13" s="4" t="str">
        <f>HYPERLINK("MembersLogos/erika.jpg", "logo")</f>
        <v>logo</v>
      </c>
      <c r="I13" s="4" t="s">
        <v>70</v>
      </c>
      <c r="J13" s="4" t="str">
        <f>HYPERLINK("MembersDesc/erika.txt", "MembersDescription")</f>
        <v>MembersDescription</v>
      </c>
    </row>
    <row r="14" spans="1:10" ht="26.25">
      <c r="A14" s="21" t="s">
        <v>71</v>
      </c>
      <c r="B14" s="5" t="s">
        <v>12</v>
      </c>
      <c r="C14" s="5" t="s">
        <v>27</v>
      </c>
      <c r="D14" s="3" t="s">
        <v>198</v>
      </c>
      <c r="E14" s="5"/>
      <c r="F14" s="4" t="s">
        <v>72</v>
      </c>
      <c r="G14" s="3" t="s">
        <v>73</v>
      </c>
      <c r="H14" s="4"/>
      <c r="I14" s="4" t="s">
        <v>74</v>
      </c>
      <c r="J14" s="4" t="str">
        <f>HYPERLINK("MembersDesc/estherweinberg.txt", "MembersDescription")</f>
        <v>MembersDescription</v>
      </c>
    </row>
    <row r="15" spans="1:10" ht="26.25">
      <c r="A15" s="21" t="s">
        <v>75</v>
      </c>
      <c r="B15" s="5" t="s">
        <v>327</v>
      </c>
      <c r="C15" s="5" t="s">
        <v>176</v>
      </c>
      <c r="D15" s="3" t="s">
        <v>199</v>
      </c>
      <c r="E15" s="3" t="s">
        <v>76</v>
      </c>
      <c r="F15" s="4" t="s">
        <v>77</v>
      </c>
      <c r="G15" s="3" t="s">
        <v>78</v>
      </c>
      <c r="H15" s="4" t="str">
        <f>HYPERLINK("MembersLogos/eyeson.png", "logo")</f>
        <v>logo</v>
      </c>
      <c r="I15" s="4" t="s">
        <v>79</v>
      </c>
      <c r="J15" s="4" t="str">
        <f>HYPERLINK("MembersDesc/eyeson.txt", "MembersDescription")</f>
        <v>MembersDescription</v>
      </c>
    </row>
    <row r="16" spans="1:10" ht="31.5" customHeight="1">
      <c r="A16" s="21" t="s">
        <v>80</v>
      </c>
      <c r="B16" s="5" t="s">
        <v>12</v>
      </c>
      <c r="C16" s="5" t="s">
        <v>27</v>
      </c>
      <c r="D16" s="5" t="s">
        <v>83</v>
      </c>
      <c r="E16" s="5" t="s">
        <v>81</v>
      </c>
      <c r="F16" s="4" t="s">
        <v>186</v>
      </c>
      <c r="G16" s="5" t="s">
        <v>84</v>
      </c>
      <c r="H16" s="4" t="str">
        <f>HYPERLINK("MembersLogos/grayreid.jpg", "logo")</f>
        <v>logo</v>
      </c>
      <c r="I16" s="4" t="s">
        <v>82</v>
      </c>
      <c r="J16" s="4" t="str">
        <f>HYPERLINK("MembersDesc/grayreid.txt", "MembersDescription")</f>
        <v>MembersDescription</v>
      </c>
    </row>
    <row r="17" spans="1:10" ht="26.25">
      <c r="A17" s="21" t="s">
        <v>85</v>
      </c>
      <c r="B17" s="5" t="s">
        <v>12</v>
      </c>
      <c r="C17" s="5" t="s">
        <v>86</v>
      </c>
      <c r="D17" s="5" t="s">
        <v>89</v>
      </c>
      <c r="E17" s="5" t="s">
        <v>87</v>
      </c>
      <c r="F17" s="5"/>
      <c r="G17" s="5" t="s">
        <v>90</v>
      </c>
      <c r="H17" s="4" t="str">
        <f>HYPERLINK("MembersLogos/hearnshobbies.jpg", "logo")</f>
        <v>logo</v>
      </c>
      <c r="I17" s="4" t="s">
        <v>88</v>
      </c>
      <c r="J17" s="4" t="str">
        <f>HYPERLINK("MembersDesc/hearnshobbies.txt", "MembersDescription")</f>
        <v>MembersDescription</v>
      </c>
    </row>
    <row r="18" spans="1:10" ht="26.25">
      <c r="A18" s="21" t="s">
        <v>91</v>
      </c>
      <c r="B18" s="5" t="s">
        <v>12</v>
      </c>
      <c r="C18" s="5" t="s">
        <v>30</v>
      </c>
      <c r="D18" s="3" t="s">
        <v>92</v>
      </c>
      <c r="E18" s="3" t="s">
        <v>93</v>
      </c>
      <c r="F18" s="4" t="s">
        <v>94</v>
      </c>
      <c r="G18" s="3" t="s">
        <v>210</v>
      </c>
      <c r="H18" s="4" t="str">
        <f>HYPERLINK("MembersLogos/jaydillon.jpg", "logo")</f>
        <v>logo</v>
      </c>
      <c r="I18" s="4" t="s">
        <v>95</v>
      </c>
      <c r="J18" s="4" t="str">
        <f>HYPERLINK("MembersDesc/jaydillon.txt", "MembersDescription")</f>
        <v>MembersDescription</v>
      </c>
    </row>
    <row r="19" spans="1:10">
      <c r="A19" s="21" t="s">
        <v>96</v>
      </c>
      <c r="B19" s="5" t="s">
        <v>12</v>
      </c>
      <c r="C19" s="5" t="s">
        <v>97</v>
      </c>
      <c r="D19" s="5"/>
      <c r="E19" s="5"/>
      <c r="F19" s="5"/>
      <c r="G19" s="3" t="s">
        <v>25</v>
      </c>
      <c r="H19" s="4" t="str">
        <f>HYPERLINK("MembersLogos/karabaker.jpg", "logo")</f>
        <v>logo</v>
      </c>
      <c r="I19" s="4" t="s">
        <v>98</v>
      </c>
      <c r="J19" s="4" t="str">
        <f>HYPERLINK("MembersDesc/karabaker.txt", "MembersDescription")</f>
        <v>MembersDescription</v>
      </c>
    </row>
    <row r="20" spans="1:10" ht="26.25">
      <c r="A20" s="21" t="s">
        <v>99</v>
      </c>
      <c r="B20" s="5" t="s">
        <v>12</v>
      </c>
      <c r="C20" s="5" t="s">
        <v>100</v>
      </c>
      <c r="D20" s="5" t="s">
        <v>200</v>
      </c>
      <c r="E20" s="5" t="s">
        <v>101</v>
      </c>
      <c r="F20" s="4" t="s">
        <v>185</v>
      </c>
      <c r="G20" s="5"/>
      <c r="H20" s="4" t="str">
        <f>HYPERLINK("MembersLogos/lightningridge.jpg", "logo")</f>
        <v>logo</v>
      </c>
      <c r="I20" s="4" t="s">
        <v>102</v>
      </c>
      <c r="J20" s="4" t="str">
        <f>HYPERLINK("MembersDesc/Lightningridge.txt", "MembersDescription")</f>
        <v>MembersDescription</v>
      </c>
    </row>
    <row r="21" spans="1:10" ht="26.25">
      <c r="A21" s="21" t="s">
        <v>103</v>
      </c>
      <c r="B21" s="5" t="s">
        <v>12</v>
      </c>
      <c r="C21" s="5" t="s">
        <v>27</v>
      </c>
      <c r="D21" s="5" t="s">
        <v>201</v>
      </c>
      <c r="E21" s="5" t="s">
        <v>105</v>
      </c>
      <c r="F21" s="4" t="s">
        <v>106</v>
      </c>
      <c r="G21" s="5" t="s">
        <v>107</v>
      </c>
      <c r="H21" s="4" t="str">
        <f>HYPERLINK("MembersLogos/lordcoconut.jpg", "logo")</f>
        <v>logo</v>
      </c>
      <c r="I21" s="4" t="s">
        <v>187</v>
      </c>
      <c r="J21" s="4" t="str">
        <f>HYPERLINK("MembersDesc/lordcoconut.txt", "MembersDescription")</f>
        <v>MembersDescription</v>
      </c>
    </row>
    <row r="22" spans="1:10" ht="39">
      <c r="A22" s="21" t="s">
        <v>108</v>
      </c>
      <c r="B22" s="5" t="s">
        <v>12</v>
      </c>
      <c r="C22" s="5" t="s">
        <v>109</v>
      </c>
      <c r="D22" s="5" t="s">
        <v>202</v>
      </c>
      <c r="E22" s="5" t="s">
        <v>110</v>
      </c>
      <c r="F22" s="4" t="s">
        <v>184</v>
      </c>
      <c r="G22" s="5" t="s">
        <v>211</v>
      </c>
      <c r="H22" s="4" t="str">
        <f>HYPERLINK("MembersLogos/mareabright.jpg", "logo")</f>
        <v>logo</v>
      </c>
      <c r="I22" s="4" t="s">
        <v>111</v>
      </c>
      <c r="J22" s="4" t="str">
        <f>HYPERLINK("MembersDesc/mareabright.txt", "MembersDescription")</f>
        <v>MembersDescription</v>
      </c>
    </row>
    <row r="23" spans="1:10" ht="26.25">
      <c r="A23" s="21" t="s">
        <v>112</v>
      </c>
      <c r="B23" s="5" t="s">
        <v>12</v>
      </c>
      <c r="C23" s="5" t="s">
        <v>134</v>
      </c>
      <c r="D23" s="5" t="s">
        <v>116</v>
      </c>
      <c r="E23" s="5" t="s">
        <v>113</v>
      </c>
      <c r="F23" s="4" t="s">
        <v>183</v>
      </c>
      <c r="G23" s="5" t="s">
        <v>115</v>
      </c>
      <c r="H23" s="4" t="str">
        <f>HYPERLINK("MembersLogos/Melbournalia.jpg", "logo")</f>
        <v>logo</v>
      </c>
      <c r="I23" s="4" t="s">
        <v>114</v>
      </c>
      <c r="J23" s="4" t="str">
        <f>HYPERLINK("MembersDesc/melbournalia.txt", "MembersDescription")</f>
        <v>MembersDescription</v>
      </c>
    </row>
    <row r="24" spans="1:10" ht="26.25">
      <c r="A24" s="21" t="s">
        <v>117</v>
      </c>
      <c r="B24" s="5" t="s">
        <v>12</v>
      </c>
      <c r="C24" s="5" t="s">
        <v>118</v>
      </c>
      <c r="D24" s="5" t="s">
        <v>203</v>
      </c>
      <c r="E24" s="5" t="s">
        <v>119</v>
      </c>
      <c r="F24" s="4" t="s">
        <v>182</v>
      </c>
      <c r="G24" s="5"/>
      <c r="H24" s="4" t="str">
        <f>HYPERLINK("MembersLogos/melbournebooks.jpg", "logo")</f>
        <v>logo</v>
      </c>
      <c r="I24" s="4" t="s">
        <v>120</v>
      </c>
      <c r="J24" s="4" t="str">
        <f>HYPERLINK("MembersDesc/melbournebooks.txt", "MembersDescription")</f>
        <v>MembersDescription</v>
      </c>
    </row>
    <row r="25" spans="1:10" ht="26.25">
      <c r="A25" s="21" t="s">
        <v>121</v>
      </c>
      <c r="B25" s="5" t="s">
        <v>12</v>
      </c>
      <c r="C25" s="5" t="s">
        <v>122</v>
      </c>
      <c r="D25" s="5" t="s">
        <v>204</v>
      </c>
      <c r="E25" s="5" t="s">
        <v>123</v>
      </c>
      <c r="F25" s="4" t="s">
        <v>181</v>
      </c>
      <c r="G25" s="5" t="s">
        <v>212</v>
      </c>
      <c r="H25" s="4" t="str">
        <f>HYPERLINK("MembersLogos/mensbiz.jpg", "logo")</f>
        <v>logo</v>
      </c>
      <c r="I25" s="4" t="s">
        <v>124</v>
      </c>
      <c r="J25" s="4" t="str">
        <f>HYPERLINK("MembersDesc/mensbiz.txt", "MembersDescription")</f>
        <v>MembersDescription</v>
      </c>
    </row>
    <row r="26" spans="1:10" ht="51.75">
      <c r="A26" s="21" t="s">
        <v>125</v>
      </c>
      <c r="B26" s="5" t="s">
        <v>12</v>
      </c>
      <c r="C26" s="5" t="s">
        <v>126</v>
      </c>
      <c r="D26" s="5" t="s">
        <v>205</v>
      </c>
      <c r="E26" s="5" t="s">
        <v>127</v>
      </c>
      <c r="F26" s="5"/>
      <c r="G26" s="5" t="s">
        <v>213</v>
      </c>
      <c r="H26" s="4" t="str">
        <f>HYPERLINK("MembersLogos/michael.png", "logo")</f>
        <v>logo</v>
      </c>
      <c r="I26" s="4" t="s">
        <v>128</v>
      </c>
      <c r="J26" s="4" t="str">
        <f>HYPERLINK("MembersDesc/michael.txt", "MembersDescription")</f>
        <v>MembersDescription</v>
      </c>
    </row>
    <row r="27" spans="1:10" ht="39">
      <c r="A27" s="21" t="s">
        <v>129</v>
      </c>
      <c r="B27" s="5" t="s">
        <v>232</v>
      </c>
      <c r="C27" s="5" t="s">
        <v>130</v>
      </c>
      <c r="D27" s="5" t="s">
        <v>215</v>
      </c>
      <c r="E27" s="5" t="s">
        <v>131</v>
      </c>
      <c r="F27" s="4" t="s">
        <v>180</v>
      </c>
      <c r="G27" s="5" t="s">
        <v>214</v>
      </c>
      <c r="H27" s="4" t="str">
        <f>HYPERLINK("MembersLogos/morkchocolate.jpg", "logo")</f>
        <v>logo</v>
      </c>
      <c r="I27" s="4" t="s">
        <v>132</v>
      </c>
      <c r="J27" s="4" t="str">
        <f>HYPERLINK("MembersDesc/morkchocolate.txt", "MembersDescription")</f>
        <v>MembersDescription</v>
      </c>
    </row>
    <row r="28" spans="1:10" ht="39">
      <c r="A28" s="21" t="s">
        <v>133</v>
      </c>
      <c r="B28" s="5" t="s">
        <v>12</v>
      </c>
      <c r="C28" s="5" t="s">
        <v>134</v>
      </c>
      <c r="D28" s="5" t="s">
        <v>217</v>
      </c>
      <c r="E28" s="5" t="s">
        <v>135</v>
      </c>
      <c r="F28" s="4" t="s">
        <v>179</v>
      </c>
      <c r="G28" s="5" t="s">
        <v>216</v>
      </c>
      <c r="H28" s="4" t="str">
        <f>HYPERLINK("MembersLogos/mrwares.png", "logo")</f>
        <v>logo</v>
      </c>
      <c r="I28" s="4" t="s">
        <v>136</v>
      </c>
      <c r="J28" s="4" t="str">
        <f>HYPERLINK("MembersDesc/mrwares.txt", "MembersDescription")</f>
        <v>MembersDescription</v>
      </c>
    </row>
    <row r="29" spans="1:10" ht="26.25">
      <c r="A29" s="21" t="s">
        <v>137</v>
      </c>
      <c r="B29" s="5" t="s">
        <v>12</v>
      </c>
      <c r="C29" s="5" t="s">
        <v>27</v>
      </c>
      <c r="D29" s="5" t="s">
        <v>218</v>
      </c>
      <c r="E29" s="5" t="s">
        <v>138</v>
      </c>
      <c r="F29" s="4" t="s">
        <v>178</v>
      </c>
      <c r="G29" s="5" t="s">
        <v>220</v>
      </c>
      <c r="H29" s="4" t="str">
        <f>HYPERLINK("MembersLogos/piecesofeight.jpg", "logo")</f>
        <v>logo</v>
      </c>
      <c r="I29" s="4" t="s">
        <v>139</v>
      </c>
      <c r="J29" s="4" t="str">
        <f>HYPERLINK("MembersDesc/piecesofeight.txt", "MembersDescription")</f>
        <v>MembersDescription</v>
      </c>
    </row>
    <row r="30" spans="1:10">
      <c r="A30" s="21" t="s">
        <v>140</v>
      </c>
      <c r="B30" s="5" t="s">
        <v>232</v>
      </c>
      <c r="C30" s="5" t="s">
        <v>141</v>
      </c>
      <c r="D30" s="5" t="s">
        <v>219</v>
      </c>
      <c r="E30" s="5" t="s">
        <v>142</v>
      </c>
      <c r="F30" s="4" t="s">
        <v>143</v>
      </c>
      <c r="G30" s="5" t="s">
        <v>144</v>
      </c>
      <c r="H30" s="4" t="str">
        <f>HYPERLINK("MembersLogos/quistscoffee.jpg", "logo")</f>
        <v>logo</v>
      </c>
      <c r="I30" s="4" t="s">
        <v>188</v>
      </c>
      <c r="J30" s="4" t="str">
        <f>HYPERLINK("MembersDesc/quistscoffee.txt", "MembersDescription")</f>
        <v>MembersDescription</v>
      </c>
    </row>
    <row r="31" spans="1:10">
      <c r="A31" s="21" t="s">
        <v>145</v>
      </c>
      <c r="B31" s="5" t="s">
        <v>327</v>
      </c>
      <c r="C31" s="5" t="s">
        <v>146</v>
      </c>
      <c r="D31" s="5"/>
      <c r="E31" s="5"/>
      <c r="F31" s="4" t="s">
        <v>147</v>
      </c>
      <c r="G31" s="5"/>
      <c r="H31" s="4" t="str">
        <f>HYPERLINK("MembersLogos/rooftophoney.png", "logo")</f>
        <v>logo</v>
      </c>
      <c r="I31" s="4" t="s">
        <v>189</v>
      </c>
      <c r="J31" s="4" t="str">
        <f>HYPERLINK("MembersDesc/rooftophoney.txt", "MembersDescription")</f>
        <v>MembersDescription</v>
      </c>
    </row>
    <row r="32" spans="1:10" ht="39">
      <c r="A32" s="21" t="s">
        <v>148</v>
      </c>
      <c r="B32" s="5" t="s">
        <v>12</v>
      </c>
      <c r="C32" s="5" t="s">
        <v>149</v>
      </c>
      <c r="D32" s="5" t="s">
        <v>150</v>
      </c>
      <c r="E32" s="5" t="s">
        <v>151</v>
      </c>
      <c r="F32" s="5"/>
      <c r="G32" s="5" t="s">
        <v>221</v>
      </c>
      <c r="H32" s="4" t="str">
        <f>HYPERLINK("MembersLogos/Sammyhair.png", "logo")</f>
        <v>logo</v>
      </c>
      <c r="I32" s="4" t="s">
        <v>152</v>
      </c>
      <c r="J32" s="4" t="str">
        <f>HYPERLINK("MembersDesc/sammyhair.txt", "MembersDescription")</f>
        <v>MembersDescription</v>
      </c>
    </row>
    <row r="33" spans="1:10">
      <c r="A33" s="21" t="s">
        <v>153</v>
      </c>
      <c r="B33" s="5" t="s">
        <v>232</v>
      </c>
      <c r="C33" s="5" t="s">
        <v>154</v>
      </c>
      <c r="D33" s="5"/>
      <c r="E33" s="5" t="s">
        <v>155</v>
      </c>
      <c r="F33" s="4" t="s">
        <v>177</v>
      </c>
      <c r="G33" s="5"/>
      <c r="H33" s="4" t="str">
        <f>HYPERLINK("MembersLogos/sinkonah.jpg", "logo")</f>
        <v>logo</v>
      </c>
      <c r="I33" s="4" t="s">
        <v>156</v>
      </c>
      <c r="J33" s="4" t="str">
        <f>HYPERLINK("MembersDesc/sinkonah.txt", "MembersDescription")</f>
        <v>MembersDescription</v>
      </c>
    </row>
    <row r="34" spans="1:10" ht="26.25">
      <c r="A34" s="21" t="s">
        <v>160</v>
      </c>
      <c r="B34" s="5" t="s">
        <v>328</v>
      </c>
      <c r="C34" s="5" t="s">
        <v>157</v>
      </c>
      <c r="D34" s="5" t="s">
        <v>222</v>
      </c>
      <c r="E34" s="5" t="s">
        <v>158</v>
      </c>
      <c r="F34" s="4" t="s">
        <v>159</v>
      </c>
      <c r="G34" s="5" t="s">
        <v>223</v>
      </c>
      <c r="H34" s="4" t="str">
        <f>HYPERLINK("MembersLogos/stephen.jpg", "logo")</f>
        <v>logo</v>
      </c>
      <c r="I34" s="4" t="s">
        <v>190</v>
      </c>
      <c r="J34" s="4"/>
    </row>
    <row r="35" spans="1:10" ht="26.25">
      <c r="A35" s="21" t="s">
        <v>163</v>
      </c>
      <c r="B35" s="5" t="s">
        <v>12</v>
      </c>
      <c r="C35" s="5" t="s">
        <v>27</v>
      </c>
      <c r="D35" s="5" t="s">
        <v>224</v>
      </c>
      <c r="E35" s="5"/>
      <c r="F35" s="4" t="s">
        <v>161</v>
      </c>
      <c r="G35" s="5" t="s">
        <v>162</v>
      </c>
      <c r="H35" s="4" t="str">
        <f>HYPERLINK("MembersLogos/suizutic.png", "logo")</f>
        <v>logo</v>
      </c>
      <c r="I35" s="4" t="s">
        <v>191</v>
      </c>
      <c r="J35" s="4" t="str">
        <f>HYPERLINK("MembersDesc/suzizutic.txt", "MembersDescription")</f>
        <v>MembersDescription</v>
      </c>
    </row>
    <row r="36" spans="1:10" ht="39">
      <c r="A36" s="21" t="s">
        <v>164</v>
      </c>
      <c r="B36" s="5" t="s">
        <v>12</v>
      </c>
      <c r="C36" s="5" t="s">
        <v>30</v>
      </c>
      <c r="D36" s="5" t="s">
        <v>225</v>
      </c>
      <c r="E36" s="5" t="s">
        <v>165</v>
      </c>
      <c r="F36" s="4" t="s">
        <v>166</v>
      </c>
      <c r="G36" s="5" t="s">
        <v>228</v>
      </c>
      <c r="H36" s="4" t="str">
        <f>HYPERLINK("MembersLogos/swensk.png", "logo")</f>
        <v>logo</v>
      </c>
      <c r="I36" s="4" t="s">
        <v>192</v>
      </c>
      <c r="J36" s="4" t="str">
        <f>HYPERLINK("MembersDesc/swensk.txt", "MembersDescription")</f>
        <v>MembersDescription</v>
      </c>
    </row>
    <row r="37" spans="1:10">
      <c r="A37" s="21" t="s">
        <v>167</v>
      </c>
      <c r="B37" s="5" t="s">
        <v>12</v>
      </c>
      <c r="C37" s="5" t="s">
        <v>168</v>
      </c>
      <c r="D37" s="5"/>
      <c r="E37" s="5"/>
      <c r="F37" s="4" t="s">
        <v>169</v>
      </c>
      <c r="G37" s="5" t="s">
        <v>162</v>
      </c>
      <c r="H37" s="4" t="str">
        <f>HYPERLINK("MembersLogos/hellobureau.jpg", "logo")</f>
        <v>logo</v>
      </c>
      <c r="I37" s="4" t="s">
        <v>193</v>
      </c>
      <c r="J37" s="4" t="str">
        <f>HYPERLINK("MembersDesc/hellobureau.txt", "MembersDescription")</f>
        <v>MembersDescription</v>
      </c>
    </row>
    <row r="38" spans="1:10" ht="26.25">
      <c r="A38" s="21" t="s">
        <v>171</v>
      </c>
      <c r="B38" s="5" t="s">
        <v>170</v>
      </c>
      <c r="C38" s="5" t="s">
        <v>38</v>
      </c>
      <c r="D38" s="5" t="s">
        <v>226</v>
      </c>
      <c r="E38" s="5" t="s">
        <v>172</v>
      </c>
      <c r="F38" s="4" t="s">
        <v>173</v>
      </c>
      <c r="G38" s="5" t="s">
        <v>229</v>
      </c>
      <c r="H38" s="4" t="str">
        <f>HYPERLINK("MembersLogos/vandj.jpg", "logo")</f>
        <v>logo</v>
      </c>
      <c r="I38" s="4" t="s">
        <v>194</v>
      </c>
      <c r="J38" s="4" t="str">
        <f>HYPERLINK("MembersDesc/vandj.txt", "MembersDescription")</f>
        <v>MembersDescription</v>
      </c>
    </row>
    <row r="39" spans="1:10" ht="39">
      <c r="A39" s="21" t="s">
        <v>174</v>
      </c>
      <c r="B39" s="5" t="s">
        <v>232</v>
      </c>
      <c r="C39" s="5" t="s">
        <v>130</v>
      </c>
      <c r="D39" s="5" t="s">
        <v>227</v>
      </c>
      <c r="E39" s="5">
        <v>409107469</v>
      </c>
      <c r="F39" s="4" t="s">
        <v>175</v>
      </c>
      <c r="G39" s="5"/>
      <c r="H39" s="4" t="str">
        <f>HYPERLINK("MembersLogos/wawa.jpg", "logo")</f>
        <v>logo</v>
      </c>
      <c r="I39" s="4" t="s">
        <v>195</v>
      </c>
      <c r="J39" s="4" t="str">
        <f>HYPERLINK("MembersDesc/wawa.txt", "MembersDescription")</f>
        <v>MembersDescription</v>
      </c>
    </row>
    <row r="40" spans="1:10">
      <c r="A40" s="21" t="s">
        <v>236</v>
      </c>
      <c r="B40" s="5" t="s">
        <v>316</v>
      </c>
      <c r="C40" s="5" t="s">
        <v>238</v>
      </c>
      <c r="D40" s="5" t="s">
        <v>382</v>
      </c>
      <c r="E40" s="5" t="s">
        <v>233</v>
      </c>
      <c r="F40" s="4" t="s">
        <v>234</v>
      </c>
      <c r="G40" s="5" t="s">
        <v>235</v>
      </c>
      <c r="H40" s="4" t="str">
        <f>HYPERLINK("MembersLogos/adelphi.jpg","logo")</f>
        <v>logo</v>
      </c>
      <c r="I40" s="4" t="s">
        <v>430</v>
      </c>
      <c r="J40" s="4" t="str">
        <f>HYPERLINK("MembersDesc/adelphi.txt", "MembersDescription")</f>
        <v>MembersDescription</v>
      </c>
    </row>
    <row r="41" spans="1:10" ht="26.25">
      <c r="A41" s="21" t="s">
        <v>239</v>
      </c>
      <c r="B41" s="5" t="s">
        <v>237</v>
      </c>
      <c r="C41" s="5" t="s">
        <v>240</v>
      </c>
      <c r="D41" s="5" t="s">
        <v>383</v>
      </c>
      <c r="E41" s="5" t="s">
        <v>241</v>
      </c>
      <c r="F41" s="4" t="s">
        <v>242</v>
      </c>
      <c r="G41" s="5" t="s">
        <v>384</v>
      </c>
      <c r="H41" s="4" t="str">
        <f>HYPERLINK("MembersLogos/bottega.jpg","logo")</f>
        <v>logo</v>
      </c>
      <c r="I41" s="4" t="s">
        <v>431</v>
      </c>
      <c r="J41" s="4" t="str">
        <f>HYPERLINK("MembersDesc/bottega.txt", "MembersDescription")</f>
        <v>MembersDescription</v>
      </c>
    </row>
    <row r="42" spans="1:10" ht="26.25">
      <c r="A42" s="21" t="s">
        <v>243</v>
      </c>
      <c r="B42" s="5" t="s">
        <v>237</v>
      </c>
      <c r="C42" s="5" t="s">
        <v>244</v>
      </c>
      <c r="D42" s="3" t="s">
        <v>385</v>
      </c>
      <c r="E42" s="3" t="s">
        <v>245</v>
      </c>
      <c r="F42" s="4" t="s">
        <v>246</v>
      </c>
      <c r="G42" s="3" t="s">
        <v>386</v>
      </c>
      <c r="H42" s="4" t="str">
        <f>HYPERLINK("MembersLogos/butcher.jpg","logo")</f>
        <v>logo</v>
      </c>
      <c r="I42" s="4" t="s">
        <v>432</v>
      </c>
      <c r="J42" s="4" t="str">
        <f>HYPERLINK("MembersDesc/butchers.txt", "MembersDescription")</f>
        <v>MembersDescription</v>
      </c>
    </row>
    <row r="43" spans="1:10" ht="26.25">
      <c r="A43" s="21" t="s">
        <v>247</v>
      </c>
      <c r="B43" s="5" t="s">
        <v>325</v>
      </c>
      <c r="C43" s="5" t="s">
        <v>240</v>
      </c>
      <c r="D43" s="5" t="s">
        <v>387</v>
      </c>
      <c r="E43" s="5" t="s">
        <v>248</v>
      </c>
      <c r="F43" s="4" t="s">
        <v>249</v>
      </c>
      <c r="G43" s="5" t="s">
        <v>388</v>
      </c>
      <c r="H43" s="4" t="str">
        <f>HYPERLINK("MembersLogos/caterina.jpg","logo")</f>
        <v>logo</v>
      </c>
      <c r="I43" s="4" t="s">
        <v>433</v>
      </c>
      <c r="J43" s="4" t="str">
        <f>HYPERLINK("MembersDesc/caterina.txt", "MembersDescription")</f>
        <v>MembersDescription</v>
      </c>
    </row>
    <row r="44" spans="1:10" ht="64.5">
      <c r="A44" s="21" t="s">
        <v>250</v>
      </c>
      <c r="B44" s="5" t="s">
        <v>237</v>
      </c>
      <c r="C44" s="5" t="s">
        <v>240</v>
      </c>
      <c r="D44" s="5" t="s">
        <v>462</v>
      </c>
      <c r="E44" s="5"/>
      <c r="F44" s="4" t="s">
        <v>251</v>
      </c>
      <c r="G44" s="5" t="s">
        <v>389</v>
      </c>
      <c r="H44" s="4" t="str">
        <f>HYPERLINK("MembersLogos/ginger.jpg","logo")</f>
        <v>logo</v>
      </c>
      <c r="I44" s="4" t="s">
        <v>434</v>
      </c>
      <c r="J44" s="4" t="str">
        <f>HYPERLINK("MembersDesc/ginger.txt", "MembersDescription")</f>
        <v>MembersDescription</v>
      </c>
    </row>
    <row r="45" spans="1:10" ht="26.25">
      <c r="A45" s="21" t="s">
        <v>252</v>
      </c>
      <c r="B45" s="5" t="s">
        <v>325</v>
      </c>
      <c r="C45" s="5" t="s">
        <v>253</v>
      </c>
      <c r="D45" s="5" t="s">
        <v>390</v>
      </c>
      <c r="E45" s="5"/>
      <c r="F45" s="4" t="s">
        <v>254</v>
      </c>
      <c r="G45" s="5" t="s">
        <v>391</v>
      </c>
      <c r="H45" s="4" t="str">
        <f>HYPERLINK("MembersLogos/guild.png","logo")</f>
        <v>logo</v>
      </c>
      <c r="I45" s="4" t="s">
        <v>429</v>
      </c>
      <c r="J45" s="4" t="str">
        <f>HYPERLINK("MembersDesc/guild.txt", "MembersDescription")</f>
        <v>MembersDescription</v>
      </c>
    </row>
    <row r="46" spans="1:10" ht="26.25">
      <c r="A46" s="21" t="s">
        <v>255</v>
      </c>
      <c r="B46" s="5" t="s">
        <v>325</v>
      </c>
      <c r="C46" s="5" t="s">
        <v>244</v>
      </c>
      <c r="D46" s="5" t="s">
        <v>392</v>
      </c>
      <c r="E46" s="5" t="s">
        <v>256</v>
      </c>
      <c r="F46" s="4" t="s">
        <v>257</v>
      </c>
      <c r="G46" s="5" t="s">
        <v>393</v>
      </c>
      <c r="H46" s="4" t="str">
        <f>HYPERLINK("MembersLogos/harley.png","logo")</f>
        <v>logo</v>
      </c>
      <c r="I46" s="4" t="s">
        <v>435</v>
      </c>
      <c r="J46" s="4" t="str">
        <f>HYPERLINK("MembersDesc/harleyhouse.txt", "MembersDescription")</f>
        <v>MembersDescription</v>
      </c>
    </row>
    <row r="47" spans="1:10" ht="26.25">
      <c r="A47" s="21" t="s">
        <v>258</v>
      </c>
      <c r="B47" s="5" t="s">
        <v>325</v>
      </c>
      <c r="C47" s="5" t="s">
        <v>253</v>
      </c>
      <c r="D47" s="5" t="s">
        <v>394</v>
      </c>
      <c r="E47" s="5" t="s">
        <v>259</v>
      </c>
      <c r="F47" s="4" t="s">
        <v>260</v>
      </c>
      <c r="G47" s="5" t="s">
        <v>395</v>
      </c>
      <c r="H47" s="4" t="str">
        <f>HYPERLINK("MembersLogos/journal.png","logo")</f>
        <v>logo</v>
      </c>
      <c r="I47" s="4" t="s">
        <v>436</v>
      </c>
      <c r="J47" s="4" t="str">
        <f>HYPERLINK("MembersDesc/journal.txt", "MembersDescription")</f>
        <v>MembersDescription</v>
      </c>
    </row>
    <row r="48" spans="1:10" ht="26.25">
      <c r="A48" s="21" t="s">
        <v>263</v>
      </c>
      <c r="B48" s="5" t="s">
        <v>325</v>
      </c>
      <c r="C48" s="5" t="s">
        <v>253</v>
      </c>
      <c r="D48" s="5" t="s">
        <v>396</v>
      </c>
      <c r="E48" s="5" t="s">
        <v>261</v>
      </c>
      <c r="F48" s="4" t="s">
        <v>262</v>
      </c>
      <c r="G48" s="5" t="s">
        <v>397</v>
      </c>
      <c r="H48" s="4" t="str">
        <f>HYPERLINK("MembersLogos/kinfolk.png","logo")</f>
        <v>logo</v>
      </c>
      <c r="I48" s="4" t="s">
        <v>437</v>
      </c>
      <c r="J48" s="4" t="str">
        <f>HYPERLINK("MembersDesc/kinfolk.txt", "MembersDescription")</f>
        <v>MembersDescription</v>
      </c>
    </row>
    <row r="49" spans="1:10">
      <c r="A49" s="21" t="s">
        <v>264</v>
      </c>
      <c r="B49" s="5" t="s">
        <v>237</v>
      </c>
      <c r="C49" s="5" t="s">
        <v>265</v>
      </c>
      <c r="D49" s="5" t="s">
        <v>398</v>
      </c>
      <c r="E49" s="5"/>
      <c r="F49" s="4" t="s">
        <v>266</v>
      </c>
      <c r="G49" s="5"/>
      <c r="H49" s="4" t="str">
        <f>HYPERLINK("MembersLogos/kirks.jpg","logo")</f>
        <v>logo</v>
      </c>
      <c r="I49" s="4" t="s">
        <v>438</v>
      </c>
      <c r="J49" s="4" t="str">
        <f>HYPERLINK("MembersDesc/kirks.txt", "MembersDescription")</f>
        <v>MembersDescription</v>
      </c>
    </row>
    <row r="50" spans="1:10" ht="26.25">
      <c r="A50" s="21" t="s">
        <v>267</v>
      </c>
      <c r="B50" s="5" t="s">
        <v>237</v>
      </c>
      <c r="C50" s="5" t="s">
        <v>273</v>
      </c>
      <c r="D50" s="5"/>
      <c r="E50" s="5" t="s">
        <v>268</v>
      </c>
      <c r="F50" s="4" t="s">
        <v>269</v>
      </c>
      <c r="G50" s="5"/>
      <c r="H50" s="4" t="str">
        <f>HYPERLINK("MembersLogos/melbournfood.png","logo")</f>
        <v>logo</v>
      </c>
      <c r="I50" s="4" t="s">
        <v>439</v>
      </c>
      <c r="J50" s="4" t="str">
        <f>HYPERLINK("MembersDesc/melbournefood.txt", "MembersDescription")</f>
        <v>MembersDescription</v>
      </c>
    </row>
    <row r="51" spans="1:10" ht="26.25">
      <c r="A51" s="21" t="s">
        <v>270</v>
      </c>
      <c r="B51" s="5" t="s">
        <v>237</v>
      </c>
      <c r="C51" s="5" t="s">
        <v>265</v>
      </c>
      <c r="D51" s="5" t="s">
        <v>399</v>
      </c>
      <c r="E51" s="5" t="s">
        <v>271</v>
      </c>
      <c r="F51" s="5"/>
      <c r="G51" s="5" t="s">
        <v>400</v>
      </c>
      <c r="H51" s="4" t="str">
        <f>HYPERLINK("MembersLogos/neapoli.jpg","logo")</f>
        <v>logo</v>
      </c>
      <c r="I51" s="4" t="s">
        <v>272</v>
      </c>
      <c r="J51" s="4" t="str">
        <f>HYPERLINK("MembersDesc/neapoli.txt", "MembersDescription")</f>
        <v>MembersDescription</v>
      </c>
    </row>
    <row r="52" spans="1:10" ht="26.25">
      <c r="A52" s="21" t="s">
        <v>274</v>
      </c>
      <c r="B52" s="5" t="s">
        <v>325</v>
      </c>
      <c r="C52" s="5" t="s">
        <v>253</v>
      </c>
      <c r="D52" s="5" t="s">
        <v>401</v>
      </c>
      <c r="E52" s="5" t="s">
        <v>275</v>
      </c>
      <c r="F52" s="4" t="s">
        <v>276</v>
      </c>
      <c r="G52" s="5" t="s">
        <v>403</v>
      </c>
      <c r="H52" s="4" t="str">
        <f>HYPERLINK("MembersLogos/novacancy.png","logo")</f>
        <v>logo</v>
      </c>
      <c r="I52" s="4" t="s">
        <v>440</v>
      </c>
      <c r="J52" s="4" t="str">
        <f>HYPERLINK("MembersDesc/novacancy.txt", "MembersDescription")</f>
        <v>MembersDescription</v>
      </c>
    </row>
    <row r="53" spans="1:10" ht="26.25">
      <c r="A53" s="21" t="s">
        <v>277</v>
      </c>
      <c r="B53" s="5" t="s">
        <v>325</v>
      </c>
      <c r="C53" s="5" t="s">
        <v>278</v>
      </c>
      <c r="D53" s="5" t="s">
        <v>402</v>
      </c>
      <c r="E53" s="5" t="s">
        <v>279</v>
      </c>
      <c r="F53" s="4" t="s">
        <v>280</v>
      </c>
      <c r="G53" s="5" t="s">
        <v>281</v>
      </c>
      <c r="H53" s="4" t="str">
        <f>HYPERLINK("MembersLogos/pole.jpg","logo")</f>
        <v>logo</v>
      </c>
      <c r="I53" s="4" t="s">
        <v>441</v>
      </c>
      <c r="J53" s="4" t="str">
        <f>HYPERLINK("MembersDesc/pole.txt", "MembersDescription")</f>
        <v>MembersDescription</v>
      </c>
    </row>
    <row r="54" spans="1:10" ht="26.25">
      <c r="A54" s="21" t="s">
        <v>282</v>
      </c>
      <c r="B54" s="5" t="s">
        <v>237</v>
      </c>
      <c r="C54" s="5" t="s">
        <v>240</v>
      </c>
      <c r="D54" s="5" t="s">
        <v>405</v>
      </c>
      <c r="E54" s="5" t="s">
        <v>283</v>
      </c>
      <c r="F54" s="4" t="s">
        <v>284</v>
      </c>
      <c r="G54" s="5" t="s">
        <v>404</v>
      </c>
      <c r="H54" s="4" t="str">
        <f>HYPERLINK("MembersLogos/ricepaper.jpg","logo")</f>
        <v>logo</v>
      </c>
      <c r="I54" s="4" t="s">
        <v>442</v>
      </c>
      <c r="J54" s="4" t="str">
        <f>HYPERLINK("MembersDesc/ricepaper.txt", "MembersDescription")</f>
        <v>MembersDescription</v>
      </c>
    </row>
    <row r="55" spans="1:10">
      <c r="A55" s="21" t="s">
        <v>285</v>
      </c>
      <c r="B55" s="5" t="s">
        <v>237</v>
      </c>
      <c r="C55" s="5" t="s">
        <v>286</v>
      </c>
      <c r="D55" s="5" t="s">
        <v>406</v>
      </c>
      <c r="E55" s="5" t="s">
        <v>287</v>
      </c>
      <c r="F55" s="4" t="s">
        <v>288</v>
      </c>
      <c r="G55" s="5" t="s">
        <v>289</v>
      </c>
      <c r="H55" s="4" t="str">
        <f>HYPERLINK("MembersLogos/kelvin.jpg","logo")</f>
        <v>logo</v>
      </c>
      <c r="I55" s="4" t="s">
        <v>443</v>
      </c>
      <c r="J55" s="4" t="str">
        <f>HYPERLINK("MembersDesc/kelvin.txt", "MembersDescription")</f>
        <v>MembersDescription</v>
      </c>
    </row>
    <row r="56" spans="1:10" ht="26.25">
      <c r="A56" s="21" t="s">
        <v>291</v>
      </c>
      <c r="B56" s="5" t="s">
        <v>290</v>
      </c>
      <c r="C56" s="5" t="s">
        <v>292</v>
      </c>
      <c r="D56" s="5" t="s">
        <v>407</v>
      </c>
      <c r="E56" s="5" t="s">
        <v>293</v>
      </c>
      <c r="F56" s="4" t="s">
        <v>294</v>
      </c>
      <c r="G56" s="5" t="s">
        <v>295</v>
      </c>
      <c r="H56" s="4" t="str">
        <f>HYPERLINK("MembersLogos/amazingmelbourne.png","logo")</f>
        <v>logo</v>
      </c>
      <c r="I56" s="4" t="s">
        <v>444</v>
      </c>
      <c r="J56" s="4" t="str">
        <f>HYPERLINK("MembersDesc/amazingmelbourne.txt", "MembersDescription")</f>
        <v>MembersDescription</v>
      </c>
    </row>
    <row r="57" spans="1:10">
      <c r="A57" s="21" t="s">
        <v>296</v>
      </c>
      <c r="B57" s="5" t="s">
        <v>326</v>
      </c>
      <c r="C57" s="5" t="s">
        <v>292</v>
      </c>
      <c r="D57" s="5"/>
      <c r="E57" s="5" t="s">
        <v>297</v>
      </c>
      <c r="F57" s="4" t="s">
        <v>298</v>
      </c>
      <c r="G57" s="5"/>
      <c r="H57" s="4" t="str">
        <f>HYPERLINK("MembersLogos/chocoholic.jpg","logo")</f>
        <v>logo</v>
      </c>
      <c r="I57" s="4" t="s">
        <v>445</v>
      </c>
      <c r="J57" s="4" t="str">
        <f>HYPERLINK("MembersDesc/chocoholics.txt", "MembersDescription")</f>
        <v>MembersDescription</v>
      </c>
    </row>
    <row r="58" spans="1:10" ht="26.25">
      <c r="A58" s="21" t="s">
        <v>299</v>
      </c>
      <c r="B58" s="5" t="s">
        <v>326</v>
      </c>
      <c r="C58" s="5" t="s">
        <v>292</v>
      </c>
      <c r="D58" s="5" t="s">
        <v>408</v>
      </c>
      <c r="E58" s="5" t="s">
        <v>300</v>
      </c>
      <c r="F58" s="4" t="s">
        <v>301</v>
      </c>
      <c r="G58" s="5" t="s">
        <v>302</v>
      </c>
      <c r="H58" s="4" t="str">
        <f>HYPERLINK("MembersLogos/hiddensecrets.jpg","logo")</f>
        <v>logo</v>
      </c>
      <c r="I58" s="4" t="s">
        <v>446</v>
      </c>
      <c r="J58" s="4" t="str">
        <f>HYPERLINK("MembersDesc/hiddensecrets.txt", "MembersDescription")</f>
        <v>MembersDescription</v>
      </c>
    </row>
    <row r="59" spans="1:10" ht="51.75">
      <c r="A59" s="21" t="s">
        <v>303</v>
      </c>
      <c r="B59" s="5" t="s">
        <v>290</v>
      </c>
      <c r="C59" s="5" t="s">
        <v>278</v>
      </c>
      <c r="D59" s="5" t="s">
        <v>410</v>
      </c>
      <c r="E59" s="5"/>
      <c r="F59" s="4" t="s">
        <v>304</v>
      </c>
      <c r="G59" s="5" t="s">
        <v>409</v>
      </c>
      <c r="H59" s="4" t="str">
        <f>HYPERLINK("MembersLogos/meyers.png","logo")</f>
        <v>logo</v>
      </c>
      <c r="I59" s="4" t="s">
        <v>447</v>
      </c>
      <c r="J59" s="4" t="str">
        <f>HYPERLINK("MembersDesc/meyers.txt", "MembersDescription")</f>
        <v>MembersDescription</v>
      </c>
    </row>
    <row r="60" spans="1:10" ht="39">
      <c r="A60" s="21" t="s">
        <v>305</v>
      </c>
      <c r="B60" s="5" t="s">
        <v>290</v>
      </c>
      <c r="C60" s="5" t="s">
        <v>292</v>
      </c>
      <c r="D60" s="5" t="s">
        <v>411</v>
      </c>
      <c r="E60" s="5" t="s">
        <v>306</v>
      </c>
      <c r="F60" s="4" t="s">
        <v>307</v>
      </c>
      <c r="G60" s="5" t="s">
        <v>412</v>
      </c>
      <c r="H60" s="4" t="str">
        <f>HYPERLINK("MembersLogos/punting.jpg","logo")</f>
        <v>logo</v>
      </c>
      <c r="I60" s="4" t="s">
        <v>448</v>
      </c>
      <c r="J60" s="4" t="str">
        <f>HYPERLINK("MembersDesc/punting.txt", "MembersDescription")</f>
        <v>MembersDescription</v>
      </c>
    </row>
    <row r="61" spans="1:10">
      <c r="A61" s="21" t="s">
        <v>308</v>
      </c>
      <c r="B61" s="5" t="s">
        <v>326</v>
      </c>
      <c r="C61" s="5" t="s">
        <v>309</v>
      </c>
      <c r="D61" s="5"/>
      <c r="E61" s="5" t="s">
        <v>310</v>
      </c>
      <c r="F61" s="4" t="s">
        <v>311</v>
      </c>
      <c r="G61" s="5" t="s">
        <v>25</v>
      </c>
      <c r="H61" s="4" t="str">
        <f>HYPERLINK("MembersLogos/sally.jpg","logo")</f>
        <v>logo</v>
      </c>
      <c r="I61" s="4" t="s">
        <v>449</v>
      </c>
      <c r="J61" s="4" t="str">
        <f>HYPERLINK("MembersDesc/sally.txt", "MembersDescription")</f>
        <v>MembersDescription</v>
      </c>
    </row>
    <row r="62" spans="1:10">
      <c r="A62" s="21" t="s">
        <v>312</v>
      </c>
      <c r="B62" s="5" t="s">
        <v>326</v>
      </c>
      <c r="C62" s="5" t="s">
        <v>292</v>
      </c>
      <c r="D62" s="5"/>
      <c r="E62" s="5" t="s">
        <v>313</v>
      </c>
      <c r="F62" s="4" t="s">
        <v>314</v>
      </c>
      <c r="G62" s="5"/>
      <c r="H62" s="4" t="str">
        <f>HYPERLINK("MembersLogos/walkmelbourne.jpg","logo")</f>
        <v>logo</v>
      </c>
      <c r="I62" s="4" t="s">
        <v>450</v>
      </c>
      <c r="J62" s="4" t="str">
        <f>HYPERLINK("MembersDesc/walkmelbourne.txt", "MembersDescription")</f>
        <v>MembersDescription</v>
      </c>
    </row>
    <row r="63" spans="1:10" ht="26.25">
      <c r="A63" s="21" t="s">
        <v>317</v>
      </c>
      <c r="B63" s="5" t="s">
        <v>315</v>
      </c>
      <c r="C63" s="5" t="s">
        <v>318</v>
      </c>
      <c r="D63" s="5" t="s">
        <v>413</v>
      </c>
      <c r="E63" s="5" t="s">
        <v>320</v>
      </c>
      <c r="F63" s="4" t="s">
        <v>319</v>
      </c>
      <c r="G63" s="5"/>
      <c r="H63" s="4" t="str">
        <f>HYPERLINK("MembersLogos/quest.jpg","logo")</f>
        <v>logo</v>
      </c>
      <c r="I63" s="4" t="s">
        <v>451</v>
      </c>
      <c r="J63" s="4" t="str">
        <f>HYPERLINK("MembersDesc/quest.txt", "MembersDescription")</f>
        <v>MembersDescription</v>
      </c>
    </row>
    <row r="64" spans="1:10" ht="26.25">
      <c r="A64" s="21" t="s">
        <v>321</v>
      </c>
      <c r="B64" s="5" t="s">
        <v>315</v>
      </c>
      <c r="C64" s="5" t="s">
        <v>238</v>
      </c>
      <c r="D64" s="5" t="s">
        <v>414</v>
      </c>
      <c r="E64" s="5" t="s">
        <v>322</v>
      </c>
      <c r="F64" s="4" t="s">
        <v>323</v>
      </c>
      <c r="G64" s="5"/>
      <c r="H64" s="4" t="str">
        <f>HYPERLINK("MembersLogos/windsor.png","logo")</f>
        <v>logo</v>
      </c>
      <c r="I64" s="4" t="s">
        <v>324</v>
      </c>
      <c r="J64" s="4" t="str">
        <f>HYPERLINK("MembersDesc/windsor.txt", "MembersDescription")</f>
        <v>MembersDescription</v>
      </c>
    </row>
    <row r="65" spans="1:10">
      <c r="A65" s="21" t="s">
        <v>329</v>
      </c>
      <c r="B65" s="5" t="s">
        <v>330</v>
      </c>
      <c r="C65" s="5" t="s">
        <v>331</v>
      </c>
      <c r="D65" s="5"/>
      <c r="E65" s="5"/>
      <c r="F65" s="4" t="s">
        <v>332</v>
      </c>
      <c r="G65" s="5"/>
      <c r="H65" s="4" t="str">
        <f>HYPERLINK("MembersLogos/artaviso.png","logo")</f>
        <v>logo</v>
      </c>
      <c r="I65" s="4" t="s">
        <v>333</v>
      </c>
      <c r="J65" s="4" t="str">
        <f>HYPERLINK("MembersDesc/artaviso.txt", "MembersDescription")</f>
        <v>MembersDescription</v>
      </c>
    </row>
    <row r="66" spans="1:10" ht="26.25">
      <c r="A66" s="21" t="s">
        <v>334</v>
      </c>
      <c r="B66" s="5" t="s">
        <v>330</v>
      </c>
      <c r="C66" s="5" t="s">
        <v>335</v>
      </c>
      <c r="D66" s="5" t="s">
        <v>415</v>
      </c>
      <c r="E66" s="5" t="s">
        <v>336</v>
      </c>
      <c r="F66" s="4" t="s">
        <v>337</v>
      </c>
      <c r="G66" s="5"/>
      <c r="H66" s="4" t="str">
        <f>HYPERLINK("MembersLogos/businessincontrol.png","logo")</f>
        <v>logo</v>
      </c>
      <c r="I66" s="4" t="s">
        <v>452</v>
      </c>
      <c r="J66" s="4" t="str">
        <f>HYPERLINK("MembersDesc/businessincontrol.txt", "MembersDescription")</f>
        <v>MembersDescription</v>
      </c>
    </row>
    <row r="67" spans="1:10" ht="39">
      <c r="A67" s="21" t="s">
        <v>338</v>
      </c>
      <c r="B67" s="5" t="s">
        <v>330</v>
      </c>
      <c r="C67" s="5" t="s">
        <v>339</v>
      </c>
      <c r="D67" s="5" t="s">
        <v>416</v>
      </c>
      <c r="E67" s="5" t="s">
        <v>340</v>
      </c>
      <c r="F67" s="4" t="s">
        <v>341</v>
      </c>
      <c r="G67" s="5" t="s">
        <v>417</v>
      </c>
      <c r="H67" s="4" t="str">
        <f>HYPERLINK("MembersLogos/dental.jpg","logo")</f>
        <v>logo</v>
      </c>
      <c r="I67" s="4" t="s">
        <v>453</v>
      </c>
      <c r="J67" s="4" t="str">
        <f>HYPERLINK("MembersDesc/dental.txt", "MembersDescription")</f>
        <v>MembersDescription</v>
      </c>
    </row>
    <row r="68" spans="1:10">
      <c r="A68" s="21" t="s">
        <v>342</v>
      </c>
      <c r="B68" s="5" t="s">
        <v>330</v>
      </c>
      <c r="C68" s="5" t="s">
        <v>292</v>
      </c>
      <c r="D68" s="5"/>
      <c r="E68" s="5"/>
      <c r="F68" s="5"/>
      <c r="G68" s="5"/>
      <c r="H68" s="4" t="str">
        <f>HYPERLINK("MembersLogos/discovera.jpg","logo")</f>
        <v>logo</v>
      </c>
      <c r="I68" s="4" t="s">
        <v>343</v>
      </c>
      <c r="J68" s="4" t="str">
        <f>HYPERLINK("MembersDesc/discovera.txt", "MembersDescription")</f>
        <v>MembersDescription</v>
      </c>
    </row>
    <row r="69" spans="1:10" ht="26.25">
      <c r="A69" s="21" t="s">
        <v>344</v>
      </c>
      <c r="B69" s="5" t="s">
        <v>330</v>
      </c>
      <c r="C69" s="5" t="s">
        <v>345</v>
      </c>
      <c r="D69" s="5" t="s">
        <v>418</v>
      </c>
      <c r="E69" s="5" t="s">
        <v>346</v>
      </c>
      <c r="F69" s="4" t="s">
        <v>347</v>
      </c>
      <c r="G69" s="5"/>
      <c r="H69" s="4" t="str">
        <f>HYPERLINK("MembersLogos/firstchap.png","logo")</f>
        <v>logo</v>
      </c>
      <c r="I69" s="4" t="s">
        <v>454</v>
      </c>
      <c r="J69" s="4" t="str">
        <f>HYPERLINK("MembersDesc/firstchap.txt", "MembersDescription")</f>
        <v>MembersDescription</v>
      </c>
    </row>
    <row r="70" spans="1:10" ht="51.75">
      <c r="A70" s="21" t="s">
        <v>348</v>
      </c>
      <c r="B70" s="5" t="s">
        <v>330</v>
      </c>
      <c r="C70" s="5" t="s">
        <v>157</v>
      </c>
      <c r="D70" s="5" t="s">
        <v>419</v>
      </c>
      <c r="E70" s="5" t="s">
        <v>349</v>
      </c>
      <c r="F70" s="4" t="s">
        <v>350</v>
      </c>
      <c r="G70" s="5" t="s">
        <v>420</v>
      </c>
      <c r="H70" s="4" t="str">
        <f>HYPERLINK("MembersLogos/flinders.png","logo")</f>
        <v>logo</v>
      </c>
      <c r="I70" s="4" t="s">
        <v>351</v>
      </c>
      <c r="J70" s="4" t="str">
        <f>HYPERLINK("MembersDesc/flinders.txt", "MembersDescription")</f>
        <v>MembersDescription</v>
      </c>
    </row>
    <row r="71" spans="1:10" ht="26.25">
      <c r="A71" s="21" t="s">
        <v>352</v>
      </c>
      <c r="B71" s="5" t="s">
        <v>330</v>
      </c>
      <c r="C71" s="5" t="s">
        <v>353</v>
      </c>
      <c r="D71" s="5" t="s">
        <v>104</v>
      </c>
      <c r="E71" s="5"/>
      <c r="F71" s="4" t="s">
        <v>354</v>
      </c>
      <c r="G71" s="5"/>
      <c r="H71" s="4" t="str">
        <f>HYPERLINK("MembersLogos/lane.jpeg","logo")</f>
        <v>logo</v>
      </c>
      <c r="I71" s="4" t="s">
        <v>455</v>
      </c>
      <c r="J71" s="4" t="str">
        <f>HYPERLINK("MembersDesc/laneway.txt", "MembersDescription")</f>
        <v>MembersDescription</v>
      </c>
    </row>
    <row r="72" spans="1:10">
      <c r="A72" s="21" t="s">
        <v>355</v>
      </c>
      <c r="B72" s="5" t="s">
        <v>330</v>
      </c>
      <c r="C72" s="5" t="s">
        <v>356</v>
      </c>
      <c r="D72" s="5" t="s">
        <v>421</v>
      </c>
      <c r="E72" s="5" t="s">
        <v>357</v>
      </c>
      <c r="F72" s="4" t="s">
        <v>358</v>
      </c>
      <c r="G72" s="5"/>
      <c r="H72" s="4" t="str">
        <f>HYPERLINK("MembersLogos/mckenzie.jpg","logo")</f>
        <v>logo</v>
      </c>
      <c r="I72" s="4" t="s">
        <v>456</v>
      </c>
      <c r="J72" s="4" t="str">
        <f>HYPERLINK("MembersDesc/mckenzie.txt", "MembersDescription")</f>
        <v>MembersDescription</v>
      </c>
    </row>
    <row r="73" spans="1:10" ht="26.25">
      <c r="A73" s="21" t="s">
        <v>359</v>
      </c>
      <c r="B73" s="5" t="s">
        <v>330</v>
      </c>
      <c r="C73" s="5" t="s">
        <v>360</v>
      </c>
      <c r="D73" s="5" t="s">
        <v>422</v>
      </c>
      <c r="E73" s="5" t="s">
        <v>361</v>
      </c>
      <c r="F73" s="4" t="s">
        <v>362</v>
      </c>
      <c r="G73" s="5"/>
      <c r="H73" s="4" t="str">
        <f>HYPERLINK("MembersLogos/Peterandrew.jpg","logo")</f>
        <v>logo</v>
      </c>
      <c r="I73" s="4" t="s">
        <v>457</v>
      </c>
      <c r="J73" s="4" t="str">
        <f>HYPERLINK("MembersDesc/peterandrew.txt", "MembersDescription")</f>
        <v>MembersDescription</v>
      </c>
    </row>
    <row r="74" spans="1:10" ht="26.25">
      <c r="A74" s="21" t="s">
        <v>363</v>
      </c>
      <c r="B74" s="5" t="s">
        <v>330</v>
      </c>
      <c r="C74" s="5" t="s">
        <v>364</v>
      </c>
      <c r="D74" s="3" t="s">
        <v>365</v>
      </c>
      <c r="E74" s="5">
        <v>413918354</v>
      </c>
      <c r="F74" s="4" t="s">
        <v>366</v>
      </c>
      <c r="G74" s="5"/>
      <c r="H74" s="4" t="str">
        <f>HYPERLINK("MembersLogos/princemercer.png","logo")</f>
        <v>logo</v>
      </c>
      <c r="I74" s="4" t="s">
        <v>458</v>
      </c>
      <c r="J74" s="4" t="str">
        <f>HYPERLINK("MembersDesc/princemercer.txt", "MembersDescription")</f>
        <v>MembersDescription</v>
      </c>
    </row>
    <row r="75" spans="1:10" ht="26.25">
      <c r="A75" s="21" t="s">
        <v>367</v>
      </c>
      <c r="B75" s="5" t="s">
        <v>330</v>
      </c>
      <c r="C75" s="5" t="s">
        <v>368</v>
      </c>
      <c r="D75" s="5" t="s">
        <v>424</v>
      </c>
      <c r="E75" s="5" t="s">
        <v>369</v>
      </c>
      <c r="F75" s="4" t="s">
        <v>370</v>
      </c>
      <c r="G75" s="5" t="s">
        <v>425</v>
      </c>
      <c r="H75" s="4" t="str">
        <f>HYPERLINK("MembersLogos/alignment.jpg","logo")</f>
        <v>logo</v>
      </c>
      <c r="I75" s="4" t="s">
        <v>459</v>
      </c>
      <c r="J75" s="4" t="str">
        <f>HYPERLINK("MembersDesc/alignment.txt", "MembersDescription")</f>
        <v>MembersDescription</v>
      </c>
    </row>
    <row r="76" spans="1:10" ht="51.75">
      <c r="A76" s="21" t="s">
        <v>372</v>
      </c>
      <c r="B76" s="5" t="s">
        <v>330</v>
      </c>
      <c r="C76" s="5" t="s">
        <v>371</v>
      </c>
      <c r="D76" s="5" t="s">
        <v>423</v>
      </c>
      <c r="E76" s="5" t="s">
        <v>373</v>
      </c>
      <c r="F76" s="4" t="s">
        <v>374</v>
      </c>
      <c r="G76" s="5" t="s">
        <v>426</v>
      </c>
      <c r="H76" s="4" t="str">
        <f>HYPERLINK("MembersLogos/Athenaeum.jpg","logo")</f>
        <v>logo</v>
      </c>
      <c r="I76" s="4" t="s">
        <v>460</v>
      </c>
      <c r="J76" s="4" t="str">
        <f>HYPERLINK("MembersDesc/melbourneathen.txt", "MembersDescription")</f>
        <v>MembersDescription</v>
      </c>
    </row>
    <row r="77" spans="1:10" ht="26.25">
      <c r="A77" s="21" t="s">
        <v>375</v>
      </c>
      <c r="B77" s="5" t="s">
        <v>330</v>
      </c>
      <c r="C77" s="5" t="s">
        <v>376</v>
      </c>
      <c r="D77" s="5" t="s">
        <v>427</v>
      </c>
      <c r="E77" s="5" t="s">
        <v>377</v>
      </c>
      <c r="F77" s="4" t="s">
        <v>378</v>
      </c>
      <c r="G77" s="5" t="s">
        <v>428</v>
      </c>
      <c r="H77" s="4" t="str">
        <f>HYPERLINK("MembersLogos/travellingconversation.png","logo")</f>
        <v>logo</v>
      </c>
      <c r="I77" s="4" t="s">
        <v>461</v>
      </c>
      <c r="J77" s="4" t="str">
        <f>HYPERLINK("MembersDesc/travellingconversations.txt", "MembersDescription")</f>
        <v>MembersDescription</v>
      </c>
    </row>
    <row r="78" spans="1:10">
      <c r="A78" s="21" t="s">
        <v>379</v>
      </c>
      <c r="B78" s="5" t="s">
        <v>330</v>
      </c>
      <c r="C78" s="5" t="s">
        <v>292</v>
      </c>
      <c r="D78" s="5"/>
      <c r="E78" s="5" t="s">
        <v>380</v>
      </c>
      <c r="F78" s="5"/>
      <c r="G78" s="5"/>
      <c r="H78" s="4" t="str">
        <f>HYPERLINK("MembersLogos/walks101.png","logo")</f>
        <v>logo</v>
      </c>
      <c r="I78" s="4" t="s">
        <v>381</v>
      </c>
      <c r="J78" s="4" t="str">
        <f>HYPERLINK("MembersDesc/walks101.txt", "MembersDescription")</f>
        <v>MembersDescription</v>
      </c>
    </row>
  </sheetData>
  <mergeCells count="1">
    <mergeCell ref="A1:J1"/>
  </mergeCells>
  <conditionalFormatting sqref="A2:J78">
    <cfRule type="containsBlanks" dxfId="0" priority="1">
      <formula>LEN(TRIM(A2))=0</formula>
    </cfRule>
  </conditionalFormatting>
  <hyperlinks>
    <hyperlink ref="F5" r:id="rId1" display="mailto:info@balthasar.com.au"/>
    <hyperlink ref="I5" r:id="rId2"/>
    <hyperlink ref="F6" r:id="rId3" display="mailto:info@bared.com.au"/>
    <hyperlink ref="I6" r:id="rId4"/>
    <hyperlink ref="F7" r:id="rId5" display="mailto:sales@carlnave.com.au"/>
    <hyperlink ref="I7" r:id="rId6"/>
    <hyperlink ref="F8" r:id="rId7" display="mailto:info@chocamama.com.au"/>
    <hyperlink ref="I8" r:id="rId8"/>
    <hyperlink ref="F9" r:id="rId9"/>
    <hyperlink ref="I9" r:id="rId10"/>
    <hyperlink ref="I10" r:id="rId11" display="http://https/www.drizabone.com.au"/>
    <hyperlink ref="F11" r:id="rId12" display="mailto:flinders@egetal.com.au"/>
    <hyperlink ref="I11" r:id="rId13"/>
    <hyperlink ref="F12" r:id="rId14" display="mailto:customerservice@elkaccessories.com.au"/>
    <hyperlink ref="I12" r:id="rId15"/>
    <hyperlink ref="F13" r:id="rId16" display="mailto:erika.boutique@hotmail.com"/>
    <hyperlink ref="I13" r:id="rId17"/>
    <hyperlink ref="F14" r:id="rId18" display="mailto:hello@estherweinberg.com.au"/>
    <hyperlink ref="I14" r:id="rId19"/>
    <hyperlink ref="F15" r:id="rId20" display="mailto:queenstreet@eyeson.com.au"/>
    <hyperlink ref="I15" r:id="rId21"/>
    <hyperlink ref="I16" r:id="rId22"/>
    <hyperlink ref="I17" r:id="rId23"/>
    <hyperlink ref="F18" r:id="rId24" display="mailto:info@jaydillon.com.au"/>
    <hyperlink ref="I18" r:id="rId25" display="http://https/www.jaydillon.com.au/"/>
    <hyperlink ref="I19" r:id="rId26"/>
    <hyperlink ref="I20" r:id="rId27"/>
    <hyperlink ref="F21" r:id="rId28"/>
    <hyperlink ref="I22" r:id="rId29"/>
    <hyperlink ref="I23" r:id="rId30"/>
    <hyperlink ref="I24" r:id="rId31"/>
    <hyperlink ref="I25" r:id="rId32"/>
    <hyperlink ref="I26" r:id="rId33" display="http://https/michaels.com.au"/>
    <hyperlink ref="I27" r:id="rId34"/>
    <hyperlink ref="I28" r:id="rId35"/>
    <hyperlink ref="I29" r:id="rId36"/>
    <hyperlink ref="F30" r:id="rId37"/>
    <hyperlink ref="F31" r:id="rId38"/>
    <hyperlink ref="I32" r:id="rId39"/>
    <hyperlink ref="I33" r:id="rId40"/>
    <hyperlink ref="F34" r:id="rId41"/>
    <hyperlink ref="F35" r:id="rId42"/>
    <hyperlink ref="F36" r:id="rId43"/>
    <hyperlink ref="F37" r:id="rId44"/>
    <hyperlink ref="F38" r:id="rId45"/>
    <hyperlink ref="F39" r:id="rId46"/>
    <hyperlink ref="F33" r:id="rId47"/>
    <hyperlink ref="F29" r:id="rId48"/>
    <hyperlink ref="F28" r:id="rId49"/>
    <hyperlink ref="F27" r:id="rId50"/>
    <hyperlink ref="F25" r:id="rId51"/>
    <hyperlink ref="F24" r:id="rId52"/>
    <hyperlink ref="F23" r:id="rId53"/>
    <hyperlink ref="F22" r:id="rId54"/>
    <hyperlink ref="F20" r:id="rId55"/>
    <hyperlink ref="F16" r:id="rId56"/>
    <hyperlink ref="I21" r:id="rId57"/>
    <hyperlink ref="I30" r:id="rId58"/>
    <hyperlink ref="I31" r:id="rId59"/>
    <hyperlink ref="I34" r:id="rId60"/>
    <hyperlink ref="I35" r:id="rId61"/>
    <hyperlink ref="I36" r:id="rId62"/>
    <hyperlink ref="I37" r:id="rId63"/>
    <hyperlink ref="I38" r:id="rId64"/>
    <hyperlink ref="I39" r:id="rId65"/>
    <hyperlink ref="F3" r:id="rId66" display="mailto:info@124shoes.com.au"/>
    <hyperlink ref="I3" r:id="rId67"/>
    <hyperlink ref="F4" r:id="rId68" display="mailto:sales@australianbydesign.com.au"/>
    <hyperlink ref="I4" r:id="rId69"/>
    <hyperlink ref="F40" r:id="rId70"/>
    <hyperlink ref="F41" r:id="rId71"/>
    <hyperlink ref="F42" r:id="rId72"/>
    <hyperlink ref="F43" r:id="rId73"/>
    <hyperlink ref="F44" r:id="rId74"/>
    <hyperlink ref="I45" r:id="rId75"/>
    <hyperlink ref="F46" r:id="rId76"/>
    <hyperlink ref="F47" r:id="rId77"/>
    <hyperlink ref="F48" r:id="rId78"/>
    <hyperlink ref="F50" r:id="rId79"/>
    <hyperlink ref="F49" r:id="rId80"/>
    <hyperlink ref="I51" r:id="rId81"/>
    <hyperlink ref="F52" r:id="rId82"/>
    <hyperlink ref="F53" r:id="rId83"/>
    <hyperlink ref="F54" r:id="rId84"/>
    <hyperlink ref="F55" r:id="rId85"/>
    <hyperlink ref="F56" r:id="rId86"/>
    <hyperlink ref="F57" r:id="rId87"/>
    <hyperlink ref="F58" r:id="rId88"/>
    <hyperlink ref="F59" r:id="rId89"/>
    <hyperlink ref="F60" r:id="rId90"/>
    <hyperlink ref="F61" r:id="rId91"/>
    <hyperlink ref="F62" r:id="rId92"/>
    <hyperlink ref="F63" r:id="rId93"/>
    <hyperlink ref="F64" r:id="rId94"/>
    <hyperlink ref="I64" r:id="rId95"/>
    <hyperlink ref="F65" r:id="rId96" display="mailto:contact@artaviso.com"/>
    <hyperlink ref="I65" r:id="rId97"/>
    <hyperlink ref="F66" r:id="rId98"/>
    <hyperlink ref="F67" r:id="rId99"/>
    <hyperlink ref="I68" r:id="rId100"/>
    <hyperlink ref="F69" r:id="rId101"/>
    <hyperlink ref="I70" r:id="rId102"/>
    <hyperlink ref="F71" r:id="rId103"/>
    <hyperlink ref="F72" r:id="rId104"/>
    <hyperlink ref="F73" r:id="rId105"/>
    <hyperlink ref="F74" r:id="rId106"/>
    <hyperlink ref="F75" r:id="rId107"/>
    <hyperlink ref="F76" r:id="rId108"/>
    <hyperlink ref="F77" r:id="rId109"/>
    <hyperlink ref="I78" r:id="rId110" display="http://https/walks101.com"/>
    <hyperlink ref="F45" r:id="rId111"/>
    <hyperlink ref="F70" r:id="rId112"/>
    <hyperlink ref="I40" r:id="rId113"/>
    <hyperlink ref="I41" r:id="rId114"/>
    <hyperlink ref="I42" r:id="rId115"/>
    <hyperlink ref="I43" r:id="rId116"/>
    <hyperlink ref="I44" r:id="rId117"/>
    <hyperlink ref="I46" r:id="rId118"/>
    <hyperlink ref="I47" r:id="rId119"/>
    <hyperlink ref="I48" r:id="rId120"/>
    <hyperlink ref="I49" r:id="rId121"/>
    <hyperlink ref="I50" r:id="rId122"/>
    <hyperlink ref="I52" r:id="rId123"/>
    <hyperlink ref="I53" r:id="rId124"/>
    <hyperlink ref="I54" r:id="rId125"/>
    <hyperlink ref="I55" r:id="rId126"/>
    <hyperlink ref="I56" r:id="rId127"/>
    <hyperlink ref="I57" r:id="rId128"/>
    <hyperlink ref="I58" r:id="rId129"/>
    <hyperlink ref="I59" r:id="rId130"/>
    <hyperlink ref="I60" r:id="rId131"/>
    <hyperlink ref="I61" r:id="rId132"/>
    <hyperlink ref="I62" r:id="rId133"/>
    <hyperlink ref="I63" r:id="rId134"/>
    <hyperlink ref="I66" r:id="rId135"/>
    <hyperlink ref="I67" r:id="rId136"/>
    <hyperlink ref="I69" r:id="rId137"/>
    <hyperlink ref="I71" r:id="rId138"/>
    <hyperlink ref="I72" r:id="rId139"/>
    <hyperlink ref="I73" r:id="rId140"/>
    <hyperlink ref="I74" r:id="rId141"/>
    <hyperlink ref="I75" r:id="rId142"/>
    <hyperlink ref="I76" r:id="rId143"/>
    <hyperlink ref="I77" r:id="rId144"/>
  </hyperlinks>
  <pageMargins left="0.7" right="0.7" top="0.75" bottom="0.75" header="0.3" footer="0.3"/>
  <pageSetup orientation="portrait" horizontalDpi="300" verticalDpi="300" r:id="rId1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="98" zoomScaleNormal="98" workbookViewId="0">
      <selection activeCell="A4" sqref="A4"/>
    </sheetView>
  </sheetViews>
  <sheetFormatPr defaultRowHeight="15"/>
  <cols>
    <col min="1" max="1" width="26.7109375" style="27" customWidth="1"/>
    <col min="2" max="2" width="11.140625" style="9" customWidth="1"/>
    <col min="3" max="3" width="10" style="9" customWidth="1"/>
    <col min="4" max="4" width="28.42578125" style="9" customWidth="1"/>
    <col min="5" max="5" width="31.28515625" style="9" customWidth="1"/>
    <col min="6" max="6" width="26.42578125" style="9" customWidth="1"/>
    <col min="7" max="7" width="14" style="9" customWidth="1"/>
    <col min="8" max="8" width="25.85546875" style="9" customWidth="1"/>
    <col min="9" max="9" width="23.85546875" style="9" customWidth="1"/>
    <col min="10" max="10" width="11.28515625" style="9" customWidth="1"/>
    <col min="11" max="11" width="11.140625" customWidth="1"/>
  </cols>
  <sheetData>
    <row r="1" spans="1:34" ht="26.25" customHeight="1">
      <c r="A1" s="34" t="s">
        <v>530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34" s="10" customFormat="1" ht="33" customHeight="1">
      <c r="A2" s="24" t="s">
        <v>531</v>
      </c>
      <c r="B2" s="14" t="s">
        <v>2</v>
      </c>
      <c r="C2" s="14" t="s">
        <v>471</v>
      </c>
      <c r="D2" s="14" t="s">
        <v>533</v>
      </c>
      <c r="E2" s="14" t="s">
        <v>466</v>
      </c>
      <c r="F2" s="14" t="s">
        <v>468</v>
      </c>
      <c r="G2" s="14" t="s">
        <v>541</v>
      </c>
      <c r="H2" s="14" t="s">
        <v>7</v>
      </c>
      <c r="I2" s="14" t="s">
        <v>473</v>
      </c>
      <c r="J2" s="36" t="s">
        <v>230</v>
      </c>
      <c r="K2" s="24" t="s">
        <v>621</v>
      </c>
    </row>
    <row r="3" spans="1:34" ht="64.5">
      <c r="A3" s="21" t="s">
        <v>464</v>
      </c>
      <c r="B3" s="5" t="s">
        <v>463</v>
      </c>
      <c r="C3" s="16">
        <v>43850</v>
      </c>
      <c r="D3" s="5" t="s">
        <v>465</v>
      </c>
      <c r="E3" s="5" t="s">
        <v>467</v>
      </c>
      <c r="F3" s="5" t="s">
        <v>469</v>
      </c>
      <c r="G3" s="5" t="s">
        <v>542</v>
      </c>
      <c r="H3" s="18" t="s">
        <v>470</v>
      </c>
      <c r="I3" s="15" t="s">
        <v>470</v>
      </c>
      <c r="J3" s="22" t="str">
        <f>HYPERLINK("EventDesc/Stability.txt","Description")</f>
        <v>Description</v>
      </c>
      <c r="K3" s="22" t="str">
        <f>HYPERLINK("EventsImg/StabilityBalance","Click Here")</f>
        <v>Click Here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6.25">
      <c r="A4" s="21" t="s">
        <v>472</v>
      </c>
      <c r="B4" s="5" t="s">
        <v>463</v>
      </c>
      <c r="C4" s="16">
        <v>43788</v>
      </c>
      <c r="D4" s="5" t="s">
        <v>481</v>
      </c>
      <c r="E4" s="5" t="s">
        <v>482</v>
      </c>
      <c r="F4" s="5"/>
      <c r="G4" s="5"/>
      <c r="H4" s="19" t="s">
        <v>475</v>
      </c>
      <c r="I4" s="5" t="s">
        <v>474</v>
      </c>
      <c r="J4" s="22" t="str">
        <f>HYPERLINK("EventDesc/celebrateatWindsor.txt","Description")</f>
        <v>Description</v>
      </c>
      <c r="K4" s="22" t="str">
        <f>HYPERLINK("EventsImg/CelebrateAtWindsor","Click Here")</f>
        <v>Click Here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26.25">
      <c r="A5" s="21" t="s">
        <v>476</v>
      </c>
      <c r="B5" s="5" t="s">
        <v>463</v>
      </c>
      <c r="C5" s="16">
        <v>43781</v>
      </c>
      <c r="D5" s="5"/>
      <c r="E5" s="5"/>
      <c r="F5" s="5"/>
      <c r="G5" s="5"/>
      <c r="H5" s="19"/>
      <c r="I5" s="5"/>
      <c r="J5" s="22" t="str">
        <f>HYPERLINK("EventDesc/InfluencerMarketing.txt","Description")</f>
        <v>Description</v>
      </c>
      <c r="K5" s="22" t="str">
        <f>HYPERLINK("EventsImg/IntrotoInfluencerMarket","Click Here")</f>
        <v>Click Here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39">
      <c r="A6" s="21" t="s">
        <v>477</v>
      </c>
      <c r="B6" s="5" t="s">
        <v>463</v>
      </c>
      <c r="C6" s="16">
        <v>43763</v>
      </c>
      <c r="D6" s="5" t="s">
        <v>478</v>
      </c>
      <c r="E6" s="5" t="s">
        <v>480</v>
      </c>
      <c r="F6" s="5" t="s">
        <v>479</v>
      </c>
      <c r="G6" s="5"/>
      <c r="H6" s="19"/>
      <c r="I6" s="5" t="s">
        <v>475</v>
      </c>
      <c r="J6" s="22" t="str">
        <f>HYPERLINK("EventDesc/atlordcoconut.txt","Description")</f>
        <v>Description</v>
      </c>
      <c r="K6" s="22" t="str">
        <f>HYPERLINK("EventsImg/InfluencerMarket","Click Here")</f>
        <v>Click Here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>
      <c r="A7" s="21" t="s">
        <v>483</v>
      </c>
      <c r="B7" s="5" t="s">
        <v>463</v>
      </c>
      <c r="C7" s="16">
        <v>43753</v>
      </c>
      <c r="D7" s="5"/>
      <c r="E7" s="5"/>
      <c r="F7" s="5"/>
      <c r="G7" s="5"/>
      <c r="H7" s="19"/>
      <c r="I7" s="5"/>
      <c r="J7" s="22" t="str">
        <f>HYPERLINK("EventDesc/swensk.txt","Description")</f>
        <v>Description</v>
      </c>
      <c r="K7" s="22" t="str">
        <f>HYPERLINK("EventsImg/Swensk","Click Here")</f>
        <v>Click Here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26.25">
      <c r="A8" s="21" t="s">
        <v>484</v>
      </c>
      <c r="B8" s="5" t="s">
        <v>463</v>
      </c>
      <c r="C8" s="16">
        <v>43739</v>
      </c>
      <c r="D8" s="5" t="s">
        <v>486</v>
      </c>
      <c r="E8" s="5" t="s">
        <v>485</v>
      </c>
      <c r="F8" s="5"/>
      <c r="G8" s="5" t="s">
        <v>502</v>
      </c>
      <c r="H8" s="19" t="s">
        <v>487</v>
      </c>
      <c r="I8" s="5"/>
      <c r="J8" s="22" t="str">
        <f>HYPERLINK("EventDesc/getsocial.txt","Description")</f>
        <v>Description</v>
      </c>
      <c r="K8" s="22" t="str">
        <f>HYPERLINK("EventsImg/GetSocial","Click Here")</f>
        <v>Click Here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26.25">
      <c r="A9" s="21" t="s">
        <v>488</v>
      </c>
      <c r="B9" s="5" t="s">
        <v>463</v>
      </c>
      <c r="C9" s="16">
        <v>43699</v>
      </c>
      <c r="D9" s="5" t="s">
        <v>490</v>
      </c>
      <c r="E9" s="5" t="s">
        <v>489</v>
      </c>
      <c r="F9" s="5" t="s">
        <v>491</v>
      </c>
      <c r="G9" s="5" t="s">
        <v>270</v>
      </c>
      <c r="H9" s="19" t="s">
        <v>475</v>
      </c>
      <c r="I9" s="5"/>
      <c r="J9" s="22" t="str">
        <f>HYPERLINK("EventDesc/marketinginbudget.txt","Description")</f>
        <v>Description</v>
      </c>
      <c r="K9" s="22" t="str">
        <f>HYPERLINK("EventsImg/MarketOnBudget","Click Here")</f>
        <v>Click Here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26.25">
      <c r="A10" s="21" t="s">
        <v>492</v>
      </c>
      <c r="B10" s="5" t="s">
        <v>463</v>
      </c>
      <c r="C10" s="16">
        <v>43669</v>
      </c>
      <c r="D10" s="5" t="s">
        <v>493</v>
      </c>
      <c r="E10" s="5" t="s">
        <v>494</v>
      </c>
      <c r="F10" s="5"/>
      <c r="G10" s="5" t="s">
        <v>263</v>
      </c>
      <c r="H10" s="19"/>
      <c r="I10" s="5"/>
      <c r="J10" s="22" t="str">
        <f>HYPERLINK("EventDesc/augustsocial.txt","Description")</f>
        <v>Description</v>
      </c>
      <c r="K10" s="22" t="str">
        <f>HYPERLINK("EventsImg/SocialatKinfolk","Click Here")</f>
        <v>Click Here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39">
      <c r="A11" s="21" t="s">
        <v>495</v>
      </c>
      <c r="B11" s="5" t="s">
        <v>463</v>
      </c>
      <c r="C11" s="16">
        <v>43657</v>
      </c>
      <c r="D11" s="5" t="s">
        <v>534</v>
      </c>
      <c r="E11" s="5" t="s">
        <v>535</v>
      </c>
      <c r="F11" s="5"/>
      <c r="G11" s="5"/>
      <c r="H11" s="19"/>
      <c r="I11" s="5"/>
      <c r="J11" s="22" t="str">
        <f>HYPERLINK("EventDesc/hearnshobbies.txt","Description")</f>
        <v>Description</v>
      </c>
      <c r="K11" s="22" t="str">
        <f>HYPERLINK("EventsImg/EveEscape","Click Here")</f>
        <v>Click Here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6.25">
      <c r="A12" s="21" t="s">
        <v>496</v>
      </c>
      <c r="B12" s="5" t="s">
        <v>463</v>
      </c>
      <c r="C12" s="16">
        <v>43641</v>
      </c>
      <c r="D12" s="5"/>
      <c r="E12" s="5"/>
      <c r="F12" s="5"/>
      <c r="G12" s="5"/>
      <c r="H12" s="19"/>
      <c r="I12" s="5"/>
      <c r="J12" s="22" t="str">
        <f>HYPERLINK("EventDesc/copywriting.txt","Description")</f>
        <v>Description</v>
      </c>
      <c r="K12" s="22" t="str">
        <f>HYPERLINK("EventsImg/Eiracopywriting","Click Here")</f>
        <v>Click Here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6.25">
      <c r="A13" s="21" t="s">
        <v>498</v>
      </c>
      <c r="B13" s="5" t="s">
        <v>463</v>
      </c>
      <c r="C13" s="16">
        <v>43609</v>
      </c>
      <c r="D13" s="5" t="s">
        <v>536</v>
      </c>
      <c r="E13" s="5" t="s">
        <v>85</v>
      </c>
      <c r="F13" s="5"/>
      <c r="G13" s="5"/>
      <c r="H13" s="19"/>
      <c r="I13" s="5"/>
      <c r="J13" s="22" t="str">
        <f>HYPERLINK("EventDesc/julysocial.txt","Description")</f>
        <v>Description</v>
      </c>
      <c r="K13" s="22" t="str">
        <f>HYPERLINK("EventsImg/HearnsHobbies","Click Here")</f>
        <v>Click Here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26.25">
      <c r="A14" s="21" t="s">
        <v>499</v>
      </c>
      <c r="B14" s="5" t="s">
        <v>463</v>
      </c>
      <c r="C14" s="16">
        <v>43604</v>
      </c>
      <c r="D14" s="5" t="s">
        <v>501</v>
      </c>
      <c r="E14" s="5" t="s">
        <v>352</v>
      </c>
      <c r="F14" s="5" t="s">
        <v>500</v>
      </c>
      <c r="G14" s="5" t="s">
        <v>502</v>
      </c>
      <c r="H14" s="19"/>
      <c r="I14" s="5"/>
      <c r="J14" s="22" t="str">
        <f>HYPERLINK("EventDesc/laneway.txt","Description")</f>
        <v>Description</v>
      </c>
      <c r="K14" s="22" t="str">
        <f>HYPERLINK("EventsImg/Copywritelaneway","Click Here")</f>
        <v>Click Here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26.25">
      <c r="A15" s="21" t="s">
        <v>503</v>
      </c>
      <c r="B15" s="5" t="s">
        <v>463</v>
      </c>
      <c r="C15" s="16">
        <v>43585</v>
      </c>
      <c r="D15" s="5"/>
      <c r="E15" s="5" t="s">
        <v>537</v>
      </c>
      <c r="F15" s="5"/>
      <c r="G15" s="5" t="s">
        <v>504</v>
      </c>
      <c r="H15" s="19"/>
      <c r="I15" s="5"/>
      <c r="J15" s="22" t="str">
        <f>HYPERLINK("EventDesc/athenaeum.txt","Description")</f>
        <v>Description</v>
      </c>
      <c r="K15" s="22" t="str">
        <f>HYPERLINK("EventsImg/Athenaeum","Click Here")</f>
        <v>Click Here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26.25">
      <c r="A16" s="21" t="s">
        <v>505</v>
      </c>
      <c r="B16" s="5" t="s">
        <v>463</v>
      </c>
      <c r="C16" s="16">
        <v>43555</v>
      </c>
      <c r="D16" s="5"/>
      <c r="E16" s="5"/>
      <c r="F16" s="5"/>
      <c r="G16" s="5"/>
      <c r="H16" s="19"/>
      <c r="I16" s="5"/>
      <c r="J16" s="22" t="str">
        <f>HYPERLINK("EventDesc/michaelcamera.txt","Description")</f>
        <v>Description</v>
      </c>
      <c r="K16" s="22" t="str">
        <f>HYPERLINK("EventsImg/michael","Click Here")</f>
        <v>Click Here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26.25">
      <c r="A17" s="21" t="s">
        <v>506</v>
      </c>
      <c r="B17" s="5" t="s">
        <v>463</v>
      </c>
      <c r="C17" s="16">
        <v>43552</v>
      </c>
      <c r="D17" s="5"/>
      <c r="E17" s="5"/>
      <c r="F17" s="5"/>
      <c r="G17" s="5"/>
      <c r="H17" s="19"/>
      <c r="I17" s="5"/>
      <c r="J17" s="22" t="str">
        <f>HYPERLINK("EventDesc/smallbusiness.txt","Description")</f>
        <v>Description</v>
      </c>
      <c r="K17" s="22" t="str">
        <f>HYPERLINK("EventsImg/SmallBusiness","Click Here")</f>
        <v>Click Here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26.25">
      <c r="A18" s="21" t="s">
        <v>507</v>
      </c>
      <c r="B18" s="5" t="s">
        <v>463</v>
      </c>
      <c r="C18" s="16">
        <v>43236</v>
      </c>
      <c r="D18" s="5" t="s">
        <v>509</v>
      </c>
      <c r="E18" s="5" t="s">
        <v>510</v>
      </c>
      <c r="F18" s="5" t="s">
        <v>508</v>
      </c>
      <c r="G18" s="5"/>
      <c r="H18" s="19"/>
      <c r="I18" s="5"/>
      <c r="J18" s="22" t="str">
        <f>HYPERLINK("EventDesc/tapping.txt","Description")</f>
        <v>Description</v>
      </c>
      <c r="K18" s="22" t="str">
        <f>HYPERLINK("EventsImg/krimper","Click Here")</f>
        <v>Click Here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9">
      <c r="A19" s="21" t="s">
        <v>511</v>
      </c>
      <c r="B19" s="5" t="s">
        <v>463</v>
      </c>
      <c r="C19" s="16">
        <v>43208</v>
      </c>
      <c r="D19" s="5"/>
      <c r="E19" s="5"/>
      <c r="F19" s="5" t="s">
        <v>512</v>
      </c>
      <c r="G19" s="5"/>
      <c r="H19" s="19"/>
      <c r="I19" s="5"/>
      <c r="J19" s="22" t="str">
        <f>HYPERLINK("EventDesc/godigital.txt","Description")</f>
        <v>Description</v>
      </c>
      <c r="K19" s="22" t="str">
        <f>HYPERLINK("EventsImg/godigital","Click Here")</f>
        <v>Click Here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26.25">
      <c r="A20" s="21" t="s">
        <v>513</v>
      </c>
      <c r="B20" s="5" t="s">
        <v>463</v>
      </c>
      <c r="C20" s="16">
        <v>43180</v>
      </c>
      <c r="D20" s="5" t="s">
        <v>515</v>
      </c>
      <c r="E20" s="5" t="s">
        <v>516</v>
      </c>
      <c r="F20" s="5" t="s">
        <v>514</v>
      </c>
      <c r="G20" s="5"/>
      <c r="H20" s="19"/>
      <c r="I20" s="5"/>
      <c r="J20" s="22" t="str">
        <f>HYPERLINK("EventDesc/butchersdinner.txt","Description")</f>
        <v>Description</v>
      </c>
      <c r="K20" s="22" t="str">
        <f>HYPERLINK("EventsImg/butcher","Click Here")</f>
        <v>Click Here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26.25">
      <c r="A21" s="21" t="s">
        <v>517</v>
      </c>
      <c r="B21" s="5" t="s">
        <v>463</v>
      </c>
      <c r="C21" s="16">
        <v>43151</v>
      </c>
      <c r="D21" s="5" t="s">
        <v>518</v>
      </c>
      <c r="E21" s="5" t="s">
        <v>519</v>
      </c>
      <c r="F21" s="5"/>
      <c r="G21" s="5"/>
      <c r="H21" s="19"/>
      <c r="I21" s="5"/>
      <c r="J21" s="22" t="str">
        <f>HYPERLINK("EventDesc/cityprecinct.txt","Description")</f>
        <v>Description</v>
      </c>
      <c r="K21" s="22" t="str">
        <f>HYPERLINK("EventsImg/citypercinct","Click Here")</f>
        <v>Click Here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9">
      <c r="A22" s="21" t="s">
        <v>522</v>
      </c>
      <c r="B22" s="5" t="s">
        <v>463</v>
      </c>
      <c r="C22" s="16">
        <v>43082</v>
      </c>
      <c r="D22" s="5" t="s">
        <v>520</v>
      </c>
      <c r="E22" s="5" t="s">
        <v>521</v>
      </c>
      <c r="F22" s="5"/>
      <c r="G22" s="5"/>
      <c r="H22" s="19"/>
      <c r="I22" s="5"/>
      <c r="J22" s="22" t="str">
        <f>HYPERLINK("EventDesc/christmas.txt","Description")</f>
        <v>Description</v>
      </c>
      <c r="K22" s="22" t="str">
        <f>HYPERLINK("EventsImg/christmas","Click Here")</f>
        <v>Click Here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26.25">
      <c r="A23" s="21" t="s">
        <v>523</v>
      </c>
      <c r="B23" s="5" t="s">
        <v>463</v>
      </c>
      <c r="C23" s="16">
        <v>43033</v>
      </c>
      <c r="D23" s="5" t="s">
        <v>524</v>
      </c>
      <c r="E23" s="5" t="s">
        <v>525</v>
      </c>
      <c r="F23" s="5"/>
      <c r="G23" s="5"/>
      <c r="H23" s="19"/>
      <c r="I23" s="5"/>
      <c r="J23" s="22" t="str">
        <f>HYPERLINK("EventDesc/trivianight.txt","Description")</f>
        <v>Description</v>
      </c>
      <c r="K23" s="22" t="str">
        <f>HYPERLINK("EventsImg/trivia","Click Here")</f>
        <v>Click Here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15.5">
      <c r="A24" s="21" t="s">
        <v>526</v>
      </c>
      <c r="B24" s="5" t="s">
        <v>463</v>
      </c>
      <c r="C24" s="16">
        <v>43717</v>
      </c>
      <c r="D24" s="5" t="s">
        <v>538</v>
      </c>
      <c r="E24" s="5" t="s">
        <v>539</v>
      </c>
      <c r="F24" s="5"/>
      <c r="G24" s="5"/>
      <c r="H24" s="19"/>
      <c r="I24" s="5"/>
      <c r="J24" s="22" t="str">
        <f>HYPERLINK("EventDesc/putspring.txt","Description")</f>
        <v>Description</v>
      </c>
      <c r="K24" s="22" t="str">
        <f>HYPERLINK("EventsImg/putspring","Click Here")</f>
        <v>Click Here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26.25">
      <c r="A25" s="21" t="s">
        <v>527</v>
      </c>
      <c r="B25" s="5" t="s">
        <v>463</v>
      </c>
      <c r="C25" s="16">
        <v>42977</v>
      </c>
      <c r="D25" s="16">
        <v>42970</v>
      </c>
      <c r="E25" s="5"/>
      <c r="F25" s="5"/>
      <c r="G25" s="5"/>
      <c r="H25" s="19" t="s">
        <v>475</v>
      </c>
      <c r="I25" s="5"/>
      <c r="J25" s="22" t="str">
        <f>HYPERLINK("EventDesc/genmeeting.txt","Description")</f>
        <v>Description</v>
      </c>
      <c r="K25" s="22" t="str">
        <f>HYPERLINK("EventsImg/ANNUALgm2017","Click Here")</f>
        <v>Click Here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90">
      <c r="A26" s="21" t="s">
        <v>528</v>
      </c>
      <c r="B26" s="5" t="s">
        <v>463</v>
      </c>
      <c r="C26" s="16">
        <v>42962</v>
      </c>
      <c r="D26" s="5" t="s">
        <v>529</v>
      </c>
      <c r="E26" s="5" t="s">
        <v>540</v>
      </c>
      <c r="F26" s="5"/>
      <c r="G26" s="5"/>
      <c r="H26" s="19"/>
      <c r="I26" s="5"/>
      <c r="J26" s="22" t="str">
        <f>HYPERLINK("EventDesc/retailleasing.txt","Description")</f>
        <v>Description</v>
      </c>
      <c r="K26" s="22" t="str">
        <f>HYPERLINK("EventsImg/retailleasing","Click Here")</f>
        <v>Click Here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26.25">
      <c r="A27" s="29" t="s">
        <v>532</v>
      </c>
      <c r="B27" s="17" t="s">
        <v>463</v>
      </c>
      <c r="C27" s="25">
        <v>42941</v>
      </c>
      <c r="D27" s="17"/>
      <c r="E27" s="17"/>
      <c r="F27" s="17"/>
      <c r="G27" s="17"/>
      <c r="H27" s="20"/>
      <c r="I27" s="5"/>
      <c r="J27" s="22"/>
      <c r="K27" s="2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13" customFormat="1" ht="26.25">
      <c r="A28" s="21" t="s">
        <v>543</v>
      </c>
      <c r="B28" s="5" t="s">
        <v>463</v>
      </c>
      <c r="C28" s="16">
        <v>42941</v>
      </c>
      <c r="D28" s="5"/>
      <c r="E28" s="5"/>
      <c r="F28" s="5"/>
      <c r="G28" s="5"/>
      <c r="H28" s="19" t="s">
        <v>544</v>
      </c>
      <c r="I28" s="5"/>
      <c r="J28" s="22" t="str">
        <f>HYPERLINK("EventDesc/citysession.txt","Description")</f>
        <v>Description</v>
      </c>
      <c r="K28" s="22" t="str">
        <f>HYPERLINK("EventsImg/CitySession","Click Here")</f>
        <v>Click Here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26.25">
      <c r="A29" s="21" t="s">
        <v>546</v>
      </c>
      <c r="B29" s="5" t="s">
        <v>545</v>
      </c>
      <c r="C29" s="16">
        <v>43703</v>
      </c>
      <c r="D29" s="5" t="s">
        <v>547</v>
      </c>
      <c r="E29" s="5" t="s">
        <v>548</v>
      </c>
      <c r="F29" s="5"/>
      <c r="G29" s="5"/>
      <c r="H29" s="30"/>
      <c r="I29" s="5"/>
      <c r="J29" s="22" t="str">
        <f>HYPERLINK("EventDesc/newlook.txt","Description")</f>
        <v>Description</v>
      </c>
      <c r="K29" s="22" t="str">
        <f>HYPERLINK("EventsImg/NewLook","Click Here")</f>
        <v>Click Here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39">
      <c r="A30" s="21" t="s">
        <v>549</v>
      </c>
      <c r="B30" s="5" t="s">
        <v>545</v>
      </c>
      <c r="C30" s="16">
        <v>43702</v>
      </c>
      <c r="D30" s="5" t="s">
        <v>551</v>
      </c>
      <c r="E30" s="5" t="s">
        <v>550</v>
      </c>
      <c r="F30" s="5"/>
      <c r="G30" s="5"/>
      <c r="H30" s="19"/>
      <c r="I30" s="5"/>
      <c r="J30" s="22" t="str">
        <f>HYPERLINK("EventDesc/fashiontour.txt","Description")</f>
        <v>Description</v>
      </c>
      <c r="K30" s="22" t="str">
        <f>HYPERLINK("EventsImg/FashionStore","Click Here")</f>
        <v>Click Here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39">
      <c r="A31" s="21" t="s">
        <v>552</v>
      </c>
      <c r="B31" s="5" t="s">
        <v>545</v>
      </c>
      <c r="C31" s="16">
        <v>43699</v>
      </c>
      <c r="D31" s="4" t="str">
        <f>HYPERLINK("EventDesc/Timing-MeetTheMaker.Txt","Timings")</f>
        <v>Timings</v>
      </c>
      <c r="E31" s="5" t="s">
        <v>553</v>
      </c>
      <c r="F31" s="5"/>
      <c r="G31" s="5"/>
      <c r="H31" s="19"/>
      <c r="I31" s="5"/>
      <c r="J31" s="22" t="str">
        <f>HYPERLINK("EventDesc/meetmaker.txt","Description")</f>
        <v>Description</v>
      </c>
      <c r="K31" s="22" t="str">
        <f>HYPERLINK("EventsImg/FestStEve","Click Here")</f>
        <v>Click Here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26.25">
      <c r="A32" s="21" t="s">
        <v>554</v>
      </c>
      <c r="B32" s="5" t="s">
        <v>545</v>
      </c>
      <c r="C32" s="16">
        <v>43698</v>
      </c>
      <c r="D32" s="5" t="s">
        <v>556</v>
      </c>
      <c r="E32" s="5" t="s">
        <v>569</v>
      </c>
      <c r="F32" s="3" t="s">
        <v>555</v>
      </c>
      <c r="G32" s="5"/>
      <c r="H32" s="19"/>
      <c r="I32" s="5"/>
      <c r="J32" s="22" t="str">
        <f>HYPERLINK("EventDesc/balthasar.txt","Description")</f>
        <v>Description</v>
      </c>
      <c r="K32" s="22" t="str">
        <f>HYPERLINK("EventsImg/Balthasar","Click Here")</f>
        <v>Click Here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26.25">
      <c r="A33" s="21" t="s">
        <v>557</v>
      </c>
      <c r="B33" s="5" t="s">
        <v>545</v>
      </c>
      <c r="C33" s="16">
        <v>43698</v>
      </c>
      <c r="D33" s="5" t="s">
        <v>558</v>
      </c>
      <c r="E33" s="5" t="s">
        <v>560</v>
      </c>
      <c r="F33" s="5" t="s">
        <v>559</v>
      </c>
      <c r="G33" s="5"/>
      <c r="H33" s="19"/>
      <c r="I33" s="5"/>
      <c r="J33" s="22" t="str">
        <f>HYPERLINK("EventDesc/carlnave.txt","Description")</f>
        <v>Description</v>
      </c>
      <c r="K33" s="22" t="str">
        <f>HYPERLINK("EventsImg/CarlNave","Click Here")</f>
        <v>Click Here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26.25">
      <c r="A34" s="21" t="s">
        <v>561</v>
      </c>
      <c r="B34" s="5" t="s">
        <v>545</v>
      </c>
      <c r="C34" s="16">
        <v>43697</v>
      </c>
      <c r="D34" s="5" t="s">
        <v>563</v>
      </c>
      <c r="E34" s="5" t="s">
        <v>569</v>
      </c>
      <c r="F34" s="3" t="s">
        <v>562</v>
      </c>
      <c r="G34" s="5"/>
      <c r="H34" s="19"/>
      <c r="I34" s="5"/>
      <c r="J34" s="22" t="str">
        <f>HYPERLINK("EventDesc/erikajago.txt","Description")</f>
        <v>Description</v>
      </c>
      <c r="K34" s="22" t="str">
        <f>HYPERLINK("EventsImg/Erika","Click Here")</f>
        <v>Click Here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26.25">
      <c r="A35" s="21" t="s">
        <v>564</v>
      </c>
      <c r="B35" s="5" t="s">
        <v>545</v>
      </c>
      <c r="C35" s="16">
        <v>43696</v>
      </c>
      <c r="D35" s="5" t="s">
        <v>565</v>
      </c>
      <c r="E35" s="5" t="s">
        <v>566</v>
      </c>
      <c r="F35" s="5"/>
      <c r="G35" s="5"/>
      <c r="H35" s="19"/>
      <c r="I35" s="5"/>
      <c r="J35" s="22" t="str">
        <f>HYPERLINK("EventDesc/grayreid.txt","Description")</f>
        <v>Description</v>
      </c>
      <c r="K35" s="22" t="str">
        <f>HYPERLINK("EventsImg/GrayReid","Click Here")</f>
        <v>Click Here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39">
      <c r="A36" s="21" t="s">
        <v>567</v>
      </c>
      <c r="B36" s="5" t="s">
        <v>545</v>
      </c>
      <c r="C36" s="16">
        <v>43695</v>
      </c>
      <c r="D36" s="5" t="s">
        <v>568</v>
      </c>
      <c r="E36" s="5" t="s">
        <v>569</v>
      </c>
      <c r="F36" s="5" t="s">
        <v>96</v>
      </c>
      <c r="G36" s="5"/>
      <c r="H36" s="19"/>
      <c r="I36" s="5"/>
      <c r="J36" s="22" t="str">
        <f>HYPERLINK("EventDesc/karabaker.txt","Description")</f>
        <v>Description</v>
      </c>
      <c r="K36" s="22" t="str">
        <f>HYPERLINK("EventsImg/KaraBaker","Click Here")</f>
        <v>Click Here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28.25">
      <c r="A37" s="21" t="s">
        <v>570</v>
      </c>
      <c r="B37" s="5" t="s">
        <v>545</v>
      </c>
      <c r="C37" s="16">
        <v>43695</v>
      </c>
      <c r="D37" s="5" t="s">
        <v>571</v>
      </c>
      <c r="E37" s="5" t="s">
        <v>569</v>
      </c>
      <c r="F37" s="5"/>
      <c r="G37" s="5"/>
      <c r="H37" s="19"/>
      <c r="I37" s="5"/>
      <c r="J37" s="22" t="str">
        <f>HYPERLINK("EventDesc/lordcoconut.txt","Description")</f>
        <v>Description</v>
      </c>
      <c r="K37" s="22" t="str">
        <f>HYPERLINK("EventsImg/LordCoconut","Click Here")</f>
        <v>Click Here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26.25">
      <c r="A38" s="21" t="s">
        <v>572</v>
      </c>
      <c r="B38" s="5" t="s">
        <v>545</v>
      </c>
      <c r="C38" s="16">
        <v>43694</v>
      </c>
      <c r="D38" s="5" t="s">
        <v>573</v>
      </c>
      <c r="E38" s="5" t="s">
        <v>569</v>
      </c>
      <c r="F38" s="5" t="s">
        <v>574</v>
      </c>
      <c r="G38" s="5"/>
      <c r="H38" s="19"/>
      <c r="I38" s="5"/>
      <c r="J38" s="22" t="str">
        <f>HYPERLINK("EventDesc/serena.txt","Description")</f>
        <v>Description</v>
      </c>
      <c r="K38" s="22" t="str">
        <f>HYPERLINK("EventsImg/Serena","Click Here")</f>
        <v>Click Here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26.25">
      <c r="A39" s="21" t="s">
        <v>575</v>
      </c>
      <c r="B39" s="5" t="s">
        <v>545</v>
      </c>
      <c r="C39" s="16">
        <v>43693</v>
      </c>
      <c r="D39" s="3" t="s">
        <v>578</v>
      </c>
      <c r="E39" s="5" t="s">
        <v>577</v>
      </c>
      <c r="F39" s="3" t="s">
        <v>576</v>
      </c>
      <c r="G39" s="5"/>
      <c r="H39" s="19"/>
      <c r="I39" s="5"/>
      <c r="J39" s="22" t="str">
        <f>HYPERLINK("EventDesc/v and j.txt","Description")</f>
        <v>Description</v>
      </c>
      <c r="K39" s="22" t="str">
        <f>HYPERLINK("EventsImg/VJ","Click Here")</f>
        <v>Click Here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39">
      <c r="A40" s="21" t="s">
        <v>579</v>
      </c>
      <c r="B40" s="5" t="s">
        <v>545</v>
      </c>
      <c r="C40" s="16">
        <v>43647</v>
      </c>
      <c r="D40" s="5" t="s">
        <v>581</v>
      </c>
      <c r="E40" s="5" t="s">
        <v>582</v>
      </c>
      <c r="F40" s="5"/>
      <c r="G40" s="5"/>
      <c r="H40" s="30" t="s">
        <v>580</v>
      </c>
      <c r="I40" s="5"/>
      <c r="J40" s="22" t="str">
        <f>HYPERLINK("EventDesc/alida.txt","Description")</f>
        <v>Description</v>
      </c>
      <c r="K40" s="22" t="str">
        <f>HYPERLINK("EventsImg/Alida","Click Here")</f>
        <v>Click Here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26.25">
      <c r="A41" s="21" t="s">
        <v>583</v>
      </c>
      <c r="B41" s="5" t="s">
        <v>545</v>
      </c>
      <c r="C41" s="16">
        <v>43253</v>
      </c>
      <c r="D41" s="4" t="str">
        <f>HYPERLINK("EventDesc/Steve.Txt","Timings")</f>
        <v>Timings</v>
      </c>
      <c r="E41" s="5"/>
      <c r="F41" s="5"/>
      <c r="G41" s="5"/>
      <c r="H41" s="19"/>
      <c r="I41" s="5"/>
      <c r="J41" s="22" t="str">
        <f>HYPERLINK("EventDesc/steve.txt","Description")</f>
        <v>Description</v>
      </c>
      <c r="K41" s="22" t="str">
        <f>HYPERLINK("EventsImg/Steve","Click Here")</f>
        <v>Click Here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30">
      <c r="A42" s="26" t="s">
        <v>584</v>
      </c>
      <c r="B42" s="5" t="s">
        <v>497</v>
      </c>
      <c r="C42" s="16">
        <v>43836</v>
      </c>
      <c r="D42" s="5"/>
      <c r="E42" s="5"/>
      <c r="F42" s="5"/>
      <c r="G42" s="5"/>
      <c r="H42" s="19"/>
      <c r="I42" s="5"/>
      <c r="J42" s="22" t="str">
        <f>HYPERLINK("EventDesc/tellus.txt","Description")</f>
        <v>Description</v>
      </c>
      <c r="K42" s="22" t="str">
        <f>HYPERLINK("EventsImg/Tellus","Click Here")</f>
        <v>Click Here</v>
      </c>
    </row>
    <row r="43" spans="1:34">
      <c r="A43" s="26" t="s">
        <v>585</v>
      </c>
      <c r="B43" s="5" t="s">
        <v>497</v>
      </c>
      <c r="C43" s="16">
        <v>43815</v>
      </c>
      <c r="D43" s="5"/>
      <c r="E43" s="5"/>
      <c r="F43" s="5"/>
      <c r="G43" s="5"/>
      <c r="H43" s="19"/>
      <c r="I43" s="5"/>
      <c r="J43" s="22" t="str">
        <f>HYPERLINK("EventDesc/note.txt","Description")</f>
        <v>Description</v>
      </c>
      <c r="K43" s="22" t="str">
        <f>HYPERLINK("EventsImg/note","Click Here")</f>
        <v>Click Here</v>
      </c>
    </row>
    <row r="44" spans="1:34" ht="15" customHeight="1">
      <c r="A44" s="26" t="s">
        <v>586</v>
      </c>
      <c r="B44" s="5" t="s">
        <v>497</v>
      </c>
      <c r="C44" s="16">
        <v>43796</v>
      </c>
      <c r="D44" s="5"/>
      <c r="E44" s="5"/>
      <c r="F44" s="5"/>
      <c r="G44" s="5"/>
      <c r="H44" s="31" t="s">
        <v>587</v>
      </c>
      <c r="I44" s="5"/>
      <c r="J44" s="22" t="str">
        <f>HYPERLINK("EventDesc/gallerymilestones.txt","Description")</f>
        <v>Description</v>
      </c>
      <c r="K44" s="22" t="str">
        <f>HYPERLINK("EventsImg/galleryMilestones","Click Here")</f>
        <v>Click Here</v>
      </c>
    </row>
    <row r="45" spans="1:34" ht="15" customHeight="1">
      <c r="A45" s="26" t="s">
        <v>588</v>
      </c>
      <c r="B45" s="5" t="s">
        <v>497</v>
      </c>
      <c r="C45" s="16">
        <v>43790</v>
      </c>
      <c r="D45" s="5" t="s">
        <v>590</v>
      </c>
      <c r="E45" s="5" t="s">
        <v>589</v>
      </c>
      <c r="F45" s="5"/>
      <c r="G45" s="5"/>
      <c r="H45" s="19"/>
      <c r="I45" s="5"/>
      <c r="J45" s="22" t="str">
        <f>HYPERLINK("EventDesc/homelessness.txt","Description")</f>
        <v>Description</v>
      </c>
      <c r="K45" s="22"/>
    </row>
    <row r="46" spans="1:34" ht="30">
      <c r="A46" s="26" t="s">
        <v>591</v>
      </c>
      <c r="B46" s="5" t="s">
        <v>497</v>
      </c>
      <c r="C46" s="16">
        <v>43766</v>
      </c>
      <c r="D46" s="5"/>
      <c r="E46" s="5"/>
      <c r="F46" s="5"/>
      <c r="G46" s="5"/>
      <c r="H46" s="19"/>
      <c r="I46" s="5"/>
      <c r="J46" s="22" t="str">
        <f>HYPERLINK("EventDesc/jo.txt","Description")</f>
        <v>Description</v>
      </c>
      <c r="K46" s="22" t="str">
        <f>HYPERLINK("EventsImg/MMjoe","Click Here")</f>
        <v>Click Here</v>
      </c>
    </row>
    <row r="47" spans="1:34" ht="51.75">
      <c r="A47" s="26" t="s">
        <v>592</v>
      </c>
      <c r="B47" s="5" t="s">
        <v>497</v>
      </c>
      <c r="C47" s="16">
        <v>43752</v>
      </c>
      <c r="D47" s="5" t="s">
        <v>594</v>
      </c>
      <c r="E47" s="5" t="s">
        <v>593</v>
      </c>
      <c r="F47" s="5"/>
      <c r="G47" s="5"/>
      <c r="H47" s="3" t="s">
        <v>487</v>
      </c>
      <c r="I47" s="3" t="s">
        <v>595</v>
      </c>
      <c r="J47" s="22" t="str">
        <f>HYPERLINK("EventDesc/annualgm.txt","Description")</f>
        <v>Description</v>
      </c>
      <c r="K47" s="22" t="str">
        <f>HYPERLINK("EventsImg/AnnualGM19","Click Here")</f>
        <v>Click Here</v>
      </c>
    </row>
    <row r="48" spans="1:34" ht="30">
      <c r="A48" s="26" t="s">
        <v>596</v>
      </c>
      <c r="B48" s="5" t="s">
        <v>497</v>
      </c>
      <c r="C48" s="16">
        <v>43745</v>
      </c>
      <c r="D48" s="5" t="s">
        <v>598</v>
      </c>
      <c r="E48" s="5" t="s">
        <v>597</v>
      </c>
      <c r="F48" s="5"/>
      <c r="G48" s="5"/>
      <c r="H48" s="3" t="s">
        <v>599</v>
      </c>
      <c r="I48" s="5"/>
      <c r="J48" s="22" t="str">
        <f>HYPERLINK("EventDesc/celebratesmallbusiness.txt","Description")</f>
        <v>Description</v>
      </c>
      <c r="K48" s="22" t="str">
        <f>HYPERLINK("EventsImg/CelebrateSmallBUsiness","Click Here")</f>
        <v>Click Here</v>
      </c>
    </row>
    <row r="49" spans="1:11" ht="30">
      <c r="A49" s="26" t="s">
        <v>600</v>
      </c>
      <c r="B49" s="5" t="s">
        <v>497</v>
      </c>
      <c r="C49" s="16">
        <v>43692</v>
      </c>
      <c r="D49" s="5"/>
      <c r="E49" s="5"/>
      <c r="F49" s="5"/>
      <c r="G49" s="5"/>
      <c r="H49" s="5"/>
      <c r="I49" s="5"/>
      <c r="J49" s="22" t="str">
        <f>HYPERLINK("EventDesc/exportgrant.txt","Description")</f>
        <v>Description</v>
      </c>
      <c r="K49" s="22" t="str">
        <f>HYPERLINK("EventsImg/ExportGrant","Click Here")</f>
        <v>Click Here</v>
      </c>
    </row>
    <row r="50" spans="1:11" ht="77.25">
      <c r="A50" s="26" t="s">
        <v>601</v>
      </c>
      <c r="B50" s="5" t="s">
        <v>497</v>
      </c>
      <c r="C50" s="16">
        <v>43689</v>
      </c>
      <c r="D50" s="5" t="s">
        <v>602</v>
      </c>
      <c r="E50" s="5"/>
      <c r="F50" s="5"/>
      <c r="G50" s="5" t="s">
        <v>603</v>
      </c>
      <c r="H50" s="19"/>
      <c r="I50" s="3" t="s">
        <v>475</v>
      </c>
      <c r="J50" s="22" t="str">
        <f>HYPERLINK("EventDesc/visitorshub.txt","Description")</f>
        <v>Description</v>
      </c>
      <c r="K50" s="22" t="str">
        <f>HYPERLINK("EventsImg/VisitorsHub","Click Here")</f>
        <v>Click Here</v>
      </c>
    </row>
    <row r="51" spans="1:11">
      <c r="A51" s="26" t="s">
        <v>604</v>
      </c>
      <c r="B51" s="5" t="s">
        <v>497</v>
      </c>
      <c r="C51" s="16">
        <v>43685</v>
      </c>
      <c r="D51" s="5"/>
      <c r="E51" s="5"/>
      <c r="F51" s="5"/>
      <c r="G51" s="32"/>
      <c r="H51" s="19"/>
      <c r="I51" s="5"/>
      <c r="J51" s="22" t="str">
        <f>HYPERLINK("EventDesc/milliner.txt","Description")</f>
        <v>Description</v>
      </c>
      <c r="K51" s="22" t="str">
        <f>HYPERLINK("EventsImg/Milliner","Click Here")</f>
        <v>Click Here</v>
      </c>
    </row>
    <row r="52" spans="1:11">
      <c r="A52" s="26" t="s">
        <v>605</v>
      </c>
      <c r="B52" s="5" t="s">
        <v>497</v>
      </c>
      <c r="C52" s="16">
        <v>43684</v>
      </c>
      <c r="D52" s="5"/>
      <c r="E52" s="5"/>
      <c r="F52" s="5"/>
      <c r="G52" s="5"/>
      <c r="H52" s="19"/>
      <c r="I52" s="5"/>
      <c r="J52" s="22" t="str">
        <f>HYPERLINK("EventDesc/retailactivation.txt","Description")</f>
        <v>Description</v>
      </c>
      <c r="K52" s="22" t="str">
        <f>HYPERLINK("EventsImg/RetailActivation","Click Here")</f>
        <v>Click Here</v>
      </c>
    </row>
    <row r="53" spans="1:11" ht="15.75" customHeight="1">
      <c r="A53" s="26" t="s">
        <v>606</v>
      </c>
      <c r="B53" s="5" t="s">
        <v>497</v>
      </c>
      <c r="C53" s="16">
        <v>43663</v>
      </c>
      <c r="D53" s="31" t="s">
        <v>607</v>
      </c>
      <c r="E53" s="5"/>
      <c r="F53" s="5"/>
      <c r="G53" s="5"/>
      <c r="H53" s="19"/>
      <c r="I53" s="5"/>
      <c r="J53" s="22" t="str">
        <f>HYPERLINK("EventDesc/artwalk.txt","Description")</f>
        <v>Description</v>
      </c>
      <c r="K53" s="22" t="str">
        <f>HYPERLINK("EventsImg/Flinders","Click Here")</f>
        <v>Click Here</v>
      </c>
    </row>
    <row r="54" spans="1:11" ht="30">
      <c r="A54" s="26" t="s">
        <v>608</v>
      </c>
      <c r="B54" s="5" t="s">
        <v>497</v>
      </c>
      <c r="C54" s="16">
        <v>43648</v>
      </c>
      <c r="D54" s="31" t="s">
        <v>609</v>
      </c>
      <c r="E54" s="5" t="s">
        <v>610</v>
      </c>
      <c r="F54" s="5"/>
      <c r="G54" s="5"/>
      <c r="H54" s="19"/>
      <c r="I54" s="5"/>
      <c r="J54" s="22" t="str">
        <f>HYPERLINK("EventDesc/lordmayor.txt","Description")</f>
        <v>Description</v>
      </c>
      <c r="K54" s="22" t="str">
        <f>HYPERLINK("EventsImg/LordMayor","Click Here")</f>
        <v>Click Here</v>
      </c>
    </row>
    <row r="55" spans="1:11" ht="15" customHeight="1">
      <c r="A55" s="26" t="s">
        <v>611</v>
      </c>
      <c r="B55" s="5" t="s">
        <v>497</v>
      </c>
      <c r="C55" s="16">
        <v>43647</v>
      </c>
      <c r="D55" s="5" t="s">
        <v>612</v>
      </c>
      <c r="E55" s="5" t="s">
        <v>613</v>
      </c>
      <c r="F55" s="5"/>
      <c r="G55" s="5"/>
      <c r="H55" s="19"/>
      <c r="I55" s="5"/>
      <c r="J55" s="22" t="str">
        <f>HYPERLINK("EventDesc/cakeatbusiness.txt","Description")</f>
        <v>Description</v>
      </c>
      <c r="K55" s="22" t="str">
        <f>HYPERLINK("EventsImg/cakeatbusiness","Click Here")</f>
        <v>Click Here</v>
      </c>
    </row>
    <row r="56" spans="1:11" ht="39">
      <c r="A56" s="26" t="s">
        <v>614</v>
      </c>
      <c r="B56" s="5" t="s">
        <v>497</v>
      </c>
      <c r="C56" s="16">
        <v>43644</v>
      </c>
      <c r="D56" s="5" t="s">
        <v>615</v>
      </c>
      <c r="E56" s="5" t="s">
        <v>616</v>
      </c>
      <c r="F56" s="5"/>
      <c r="G56" s="5"/>
      <c r="H56" s="19"/>
      <c r="I56" s="5" t="s">
        <v>617</v>
      </c>
      <c r="J56" s="22" t="str">
        <f>HYPERLINK("EventDesc/alipay.txt","Description")</f>
        <v>Description</v>
      </c>
      <c r="K56" s="22" t="str">
        <f>HYPERLINK("EventsImg/Alipay","Click Here")</f>
        <v>Click Here</v>
      </c>
    </row>
    <row r="57" spans="1:11" ht="45">
      <c r="A57" s="26" t="s">
        <v>618</v>
      </c>
      <c r="B57" s="5" t="s">
        <v>497</v>
      </c>
      <c r="C57" s="16">
        <v>43634</v>
      </c>
      <c r="D57" s="5"/>
      <c r="E57" s="5"/>
      <c r="F57" s="5"/>
      <c r="G57" s="5"/>
      <c r="H57" s="19"/>
      <c r="I57" s="5"/>
      <c r="J57" s="22" t="str">
        <f>HYPERLINK("EventDesc/threeways.txt","Description")</f>
        <v>Description</v>
      </c>
      <c r="K57" s="22" t="str">
        <f>HYPERLINK("EventsImg/Promoteyourbusiness","Click Here")</f>
        <v>Click Here</v>
      </c>
    </row>
    <row r="58" spans="1:11" ht="30">
      <c r="A58" s="26" t="s">
        <v>619</v>
      </c>
      <c r="B58" s="5" t="s">
        <v>497</v>
      </c>
      <c r="C58" s="16">
        <v>43613</v>
      </c>
      <c r="D58" s="5"/>
      <c r="E58" s="5"/>
      <c r="F58" s="5"/>
      <c r="G58" s="5"/>
      <c r="H58" s="19"/>
      <c r="I58" s="5"/>
      <c r="J58" s="22" t="str">
        <f>HYPERLINK("EventDesc/introkinfolk.txt","Description")</f>
        <v>Description</v>
      </c>
      <c r="K58" s="22" t="str">
        <f>HYPERLINK("EventsImg/IntroKinfolk","Click Here")</f>
        <v>Click Here</v>
      </c>
    </row>
  </sheetData>
  <mergeCells count="1">
    <mergeCell ref="A1:K1"/>
  </mergeCells>
  <hyperlinks>
    <hyperlink ref="H3" r:id="rId1" display="http://mailto:hayley@cityprecinct.com.au/"/>
    <hyperlink ref="I3" r:id="rId2" display="http://mailto:hayley@cityprecinct.com.au/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Members</vt:lpstr>
      <vt:lpstr>Events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ART</cp:lastModifiedBy>
  <dcterms:created xsi:type="dcterms:W3CDTF">2020-02-04T07:50:53Z</dcterms:created>
  <dcterms:modified xsi:type="dcterms:W3CDTF">2020-02-08T03:08:19Z</dcterms:modified>
</cp:coreProperties>
</file>